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queryTables/queryTable1.xml" ContentType="application/vnd.openxmlformats-officedocument.spreadsheetml.queryTable+xml"/>
  <Override PartName="/xl/tables/table14.xml" ContentType="application/vnd.openxmlformats-officedocument.spreadsheetml.table+xml"/>
  <Override PartName="/xl/queryTables/queryTable2.xml" ContentType="application/vnd.openxmlformats-officedocument.spreadsheetml.queryTable+xml"/>
  <Override PartName="/xl/tables/table1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tables/table16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ml.chartshapes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11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edisonenergygroup-my.sharepoint.com/personal/nicholas_masiello_trioadvisory_com/Documents/Desktop/"/>
    </mc:Choice>
  </mc:AlternateContent>
  <xr:revisionPtr revIDLastSave="10989" documentId="8_{874B2980-E7DA-4CA2-9E26-4A042A9E55BE}" xr6:coauthVersionLast="47" xr6:coauthVersionMax="47" xr10:uidLastSave="{20F5ECAB-A281-4B16-9B30-A7AC142C8A7C}"/>
  <workbookProtection workbookAlgorithmName="SHA-512" workbookHashValue="Dn9iIQhMr/d2egtkkCD9Yj7U3onLhm0eUPawHdhTB3UWtcapXRaYVsLsYosrQBFp+YQC8DWpE5w/xvvYGdGAfw==" workbookSaltValue="ySl49mxwYZw5xYxNLiLURw==" workbookSpinCount="100000" lockStructure="1"/>
  <bookViews>
    <workbookView xWindow="-110" yWindow="-110" windowWidth="22780" windowHeight="14660" tabRatio="715" xr2:uid="{768535F6-31DA-4447-A035-A8A2E8C8E681}"/>
  </bookViews>
  <sheets>
    <sheet name="Instructions" sheetId="27" r:id="rId1"/>
    <sheet name="1. Emissions Forecast" sheetId="26" r:id="rId2"/>
    <sheet name="Emissions Forecast Data" sheetId="8" state="hidden" r:id="rId3"/>
    <sheet name="Simple Emissions Forecast" sheetId="29" state="hidden" r:id="rId4"/>
    <sheet name="2. Facility Emissions" sheetId="7" r:id="rId5"/>
    <sheet name="Hotspot Analysis by Site" sheetId="28" state="hidden" r:id="rId6"/>
    <sheet name="Facility Emissions" sheetId="19" state="hidden" r:id="rId7"/>
    <sheet name="Goal Scenarios" sheetId="9" state="hidden" r:id="rId8"/>
    <sheet name="3. Decarbonization Strategy" sheetId="22" r:id="rId9"/>
    <sheet name="EFs" sheetId="13" state="hidden" r:id="rId10"/>
    <sheet name="Transformation" sheetId="21" state="hidden" r:id="rId11"/>
    <sheet name="Assumptions" sheetId="23" state="hidden" r:id="rId12"/>
    <sheet name="Emissions Data Output" sheetId="18" state="hidden" r:id="rId13"/>
    <sheet name="Decarbonization Output" sheetId="25" state="hidden" r:id="rId14"/>
    <sheet name="Decarbonization Scenarios_S1+2" sheetId="20" state="hidden" r:id="rId15"/>
  </sheets>
  <externalReferences>
    <externalReference r:id="rId16"/>
  </externalReferences>
  <definedNames>
    <definedName name="_xlnm._FilterDatabase" localSheetId="9" hidden="1">EFs!#REF!</definedName>
    <definedName name="Electrification_Pct_2035">'3. Decarbonization Strategy'!$C$47</definedName>
    <definedName name="Energy_Conversions" localSheetId="3">Table13[]</definedName>
    <definedName name="Energy_Conversions">Table13[]</definedName>
    <definedName name="ExternalData_1" localSheetId="6" hidden="1">'Facility Emissions'!$B$5:$V$16</definedName>
    <definedName name="ExternalData_2" localSheetId="6" hidden="1">'Facility Emissions'!$Z$5:$AB$16</definedName>
    <definedName name="Growth_Rate" localSheetId="14">#REF!</definedName>
    <definedName name="Growth_Rate" localSheetId="2">'Emissions Forecast Data'!#REF!</definedName>
    <definedName name="Growth_Rate" localSheetId="3">'Simple Emissions Forecast'!#REF!</definedName>
    <definedName name="Growth_Rate">#REF!</definedName>
    <definedName name="GWP_CH4">EFs!$C$5</definedName>
    <definedName name="GWP_N2O">EFs!$C$6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9" i="21" l="1"/>
  <c r="O69" i="21"/>
  <c r="P52" i="21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J10" i="29"/>
  <c r="N10" i="29"/>
  <c r="Q10" i="29"/>
  <c r="AD10" i="29"/>
  <c r="AF10" i="29"/>
  <c r="AG10" i="29"/>
  <c r="AH10" i="29"/>
  <c r="D10" i="29"/>
  <c r="D16" i="29" s="1"/>
  <c r="C6" i="29"/>
  <c r="C5" i="29"/>
  <c r="G10" i="29" s="1"/>
  <c r="AC15" i="13"/>
  <c r="AB15" i="13"/>
  <c r="AC13" i="13"/>
  <c r="AB13" i="13"/>
  <c r="AC11" i="13"/>
  <c r="AB11" i="13"/>
  <c r="AC12" i="13"/>
  <c r="AB12" i="13"/>
  <c r="AC16" i="13"/>
  <c r="AB16" i="13"/>
  <c r="AC19" i="13"/>
  <c r="AB19" i="13"/>
  <c r="AC18" i="13"/>
  <c r="AB18" i="13"/>
  <c r="AC17" i="13"/>
  <c r="AB17" i="13"/>
  <c r="AC20" i="13"/>
  <c r="AB20" i="13"/>
  <c r="D191" i="22"/>
  <c r="Y10" i="29" l="1"/>
  <c r="I10" i="29"/>
  <c r="Z10" i="29"/>
  <c r="V10" i="29"/>
  <c r="F10" i="29"/>
  <c r="R10" i="29"/>
  <c r="M10" i="29"/>
  <c r="E10" i="29"/>
  <c r="AB10" i="29"/>
  <c r="T10" i="29"/>
  <c r="L10" i="29"/>
  <c r="AC10" i="29"/>
  <c r="U10" i="29"/>
  <c r="AI10" i="29"/>
  <c r="AA10" i="29"/>
  <c r="S10" i="29"/>
  <c r="K10" i="29"/>
  <c r="X10" i="29"/>
  <c r="P10" i="29"/>
  <c r="H10" i="29"/>
  <c r="AE10" i="29"/>
  <c r="W10" i="29"/>
  <c r="O10" i="29"/>
  <c r="E16" i="29"/>
  <c r="F16" i="29" s="1"/>
  <c r="G16" i="29" s="1"/>
  <c r="C5" i="28"/>
  <c r="C6" i="28"/>
  <c r="C8" i="28"/>
  <c r="C62" i="19"/>
  <c r="B74" i="19"/>
  <c r="E74" i="19"/>
  <c r="B75" i="19"/>
  <c r="E75" i="19"/>
  <c r="B76" i="19"/>
  <c r="E76" i="19"/>
  <c r="B77" i="19"/>
  <c r="E77" i="19"/>
  <c r="B78" i="19"/>
  <c r="E78" i="19"/>
  <c r="B79" i="19"/>
  <c r="E79" i="19"/>
  <c r="B80" i="19"/>
  <c r="E80" i="19"/>
  <c r="B81" i="19"/>
  <c r="E81" i="19"/>
  <c r="B82" i="19"/>
  <c r="E82" i="19"/>
  <c r="B83" i="19"/>
  <c r="E83" i="19"/>
  <c r="B84" i="19"/>
  <c r="E84" i="19"/>
  <c r="B85" i="19"/>
  <c r="E85" i="19"/>
  <c r="B86" i="19"/>
  <c r="E86" i="19"/>
  <c r="B87" i="19"/>
  <c r="E87" i="19"/>
  <c r="B88" i="19"/>
  <c r="E88" i="19"/>
  <c r="B89" i="19"/>
  <c r="E89" i="19"/>
  <c r="B90" i="19"/>
  <c r="E90" i="19"/>
  <c r="B91" i="19"/>
  <c r="E91" i="19"/>
  <c r="B92" i="19"/>
  <c r="E92" i="19"/>
  <c r="B93" i="19"/>
  <c r="E93" i="19"/>
  <c r="C61" i="19" l="1"/>
  <c r="F11" i="29"/>
  <c r="D11" i="29"/>
  <c r="D17" i="29" s="1"/>
  <c r="E11" i="29"/>
  <c r="H16" i="29"/>
  <c r="C67" i="19"/>
  <c r="AC6" i="13"/>
  <c r="AB6" i="13"/>
  <c r="E26" i="22"/>
  <c r="D24" i="9"/>
  <c r="D23" i="9"/>
  <c r="E17" i="29" l="1"/>
  <c r="D18" i="29"/>
  <c r="C66" i="19"/>
  <c r="N11" i="29"/>
  <c r="AB11" i="29"/>
  <c r="L11" i="29"/>
  <c r="H11" i="29"/>
  <c r="AG11" i="29"/>
  <c r="AI11" i="29"/>
  <c r="U11" i="29"/>
  <c r="V11" i="29"/>
  <c r="P11" i="29"/>
  <c r="J11" i="29"/>
  <c r="I11" i="29"/>
  <c r="K11" i="29"/>
  <c r="G11" i="29"/>
  <c r="X11" i="29"/>
  <c r="R11" i="29"/>
  <c r="O11" i="29"/>
  <c r="AF11" i="29"/>
  <c r="Z11" i="29"/>
  <c r="AE11" i="29"/>
  <c r="M11" i="29"/>
  <c r="W11" i="29"/>
  <c r="AD11" i="29"/>
  <c r="AH11" i="29"/>
  <c r="T11" i="29"/>
  <c r="AC11" i="29"/>
  <c r="Q11" i="29"/>
  <c r="S11" i="29"/>
  <c r="Y11" i="29"/>
  <c r="AA11" i="29"/>
  <c r="I16" i="29"/>
  <c r="C87" i="22"/>
  <c r="C4" i="21" a="1"/>
  <c r="C4" i="21" s="1"/>
  <c r="C3" i="21" a="1"/>
  <c r="C3" i="21" s="1"/>
  <c r="C40" i="22"/>
  <c r="C5" i="8"/>
  <c r="G36" i="23"/>
  <c r="F150" i="22"/>
  <c r="F17" i="29" l="1"/>
  <c r="F18" i="29" s="1"/>
  <c r="E18" i="29"/>
  <c r="H17" i="29"/>
  <c r="J16" i="29"/>
  <c r="F153" i="22"/>
  <c r="F152" i="22"/>
  <c r="BT9" i="21"/>
  <c r="F149" i="22"/>
  <c r="BS9" i="21"/>
  <c r="C6" i="22"/>
  <c r="C5" i="22"/>
  <c r="C22" i="26"/>
  <c r="C8" i="7"/>
  <c r="C8" i="22"/>
  <c r="C6" i="7"/>
  <c r="C5" i="7"/>
  <c r="C8" i="26"/>
  <c r="C7" i="26"/>
  <c r="G17" i="29" l="1"/>
  <c r="G18" i="29" s="1"/>
  <c r="I17" i="29"/>
  <c r="H18" i="29"/>
  <c r="K16" i="29"/>
  <c r="C70" i="19"/>
  <c r="C65" i="19"/>
  <c r="BU9" i="21"/>
  <c r="C63" i="22"/>
  <c r="J17" i="29" l="1"/>
  <c r="I18" i="29"/>
  <c r="L16" i="29"/>
  <c r="D87" i="22"/>
  <c r="K17" i="29" l="1"/>
  <c r="J18" i="29"/>
  <c r="M16" i="29"/>
  <c r="N16" i="29" s="1"/>
  <c r="BS39" i="21"/>
  <c r="BT39" i="21"/>
  <c r="BS40" i="21"/>
  <c r="BT40" i="21"/>
  <c r="BS41" i="21"/>
  <c r="BT41" i="21"/>
  <c r="D50" i="22"/>
  <c r="C50" i="22"/>
  <c r="L17" i="29" l="1"/>
  <c r="K18" i="29"/>
  <c r="O16" i="29"/>
  <c r="BU40" i="21"/>
  <c r="C168" i="22" s="1"/>
  <c r="BU41" i="21"/>
  <c r="C169" i="22" s="1"/>
  <c r="BU39" i="21"/>
  <c r="C167" i="22" s="1"/>
  <c r="E50" i="22"/>
  <c r="C153" i="22"/>
  <c r="BS10" i="21"/>
  <c r="BT10" i="21"/>
  <c r="BS11" i="21"/>
  <c r="BT11" i="21"/>
  <c r="M17" i="29" l="1"/>
  <c r="L18" i="29"/>
  <c r="P16" i="29"/>
  <c r="BU11" i="21"/>
  <c r="C155" i="22" s="1"/>
  <c r="BU10" i="21"/>
  <c r="C154" i="22" s="1"/>
  <c r="E87" i="22"/>
  <c r="G16" i="23"/>
  <c r="G22" i="23" s="1"/>
  <c r="N17" i="29" l="1"/>
  <c r="M18" i="29"/>
  <c r="Q16" i="29"/>
  <c r="C4" i="25"/>
  <c r="C3" i="25"/>
  <c r="O25" i="13"/>
  <c r="N25" i="13"/>
  <c r="M25" i="13"/>
  <c r="L25" i="13"/>
  <c r="P25" i="13" s="1"/>
  <c r="X15" i="13"/>
  <c r="X11" i="13"/>
  <c r="X14" i="13"/>
  <c r="X13" i="13"/>
  <c r="X12" i="13"/>
  <c r="X9" i="13"/>
  <c r="X8" i="13"/>
  <c r="D50" i="21"/>
  <c r="D23" i="21"/>
  <c r="O17" i="29" l="1"/>
  <c r="N18" i="29"/>
  <c r="R16" i="29"/>
  <c r="B70" i="7" a="1"/>
  <c r="C71" i="7" s="1"/>
  <c r="B17" i="22" a="1"/>
  <c r="C18" i="22" s="1"/>
  <c r="E23" i="21"/>
  <c r="AG23" i="21"/>
  <c r="BD23" i="21" s="1"/>
  <c r="U23" i="21"/>
  <c r="E50" i="21"/>
  <c r="AG50" i="21"/>
  <c r="U50" i="21"/>
  <c r="P17" i="29" l="1"/>
  <c r="O18" i="29"/>
  <c r="S16" i="29"/>
  <c r="B17" i="22"/>
  <c r="C17" i="22" s="1"/>
  <c r="B70" i="7"/>
  <c r="C70" i="7" s="1"/>
  <c r="AS50" i="21"/>
  <c r="BD50" i="21"/>
  <c r="AS23" i="21"/>
  <c r="V23" i="21"/>
  <c r="AH23" i="21"/>
  <c r="AH50" i="21"/>
  <c r="V50" i="21"/>
  <c r="L27" i="13"/>
  <c r="M27" i="13"/>
  <c r="N27" i="13"/>
  <c r="O27" i="13"/>
  <c r="L26" i="13"/>
  <c r="M26" i="13"/>
  <c r="N26" i="13"/>
  <c r="O26" i="13"/>
  <c r="G150" i="20"/>
  <c r="G152" i="20" s="1"/>
  <c r="G32" i="20" s="1"/>
  <c r="F150" i="20"/>
  <c r="E150" i="20"/>
  <c r="E26" i="20" s="1"/>
  <c r="D150" i="20"/>
  <c r="D152" i="20" s="1"/>
  <c r="D32" i="20" s="1"/>
  <c r="C150" i="20"/>
  <c r="C152" i="20" s="1"/>
  <c r="C32" i="20" s="1"/>
  <c r="L145" i="20"/>
  <c r="L147" i="20" s="1"/>
  <c r="H149" i="20" s="1"/>
  <c r="K145" i="20"/>
  <c r="J145" i="20"/>
  <c r="I145" i="20"/>
  <c r="H145" i="20"/>
  <c r="G145" i="20"/>
  <c r="F145" i="20"/>
  <c r="E145" i="20"/>
  <c r="D145" i="20"/>
  <c r="C145" i="20"/>
  <c r="L144" i="20"/>
  <c r="L146" i="20" s="1"/>
  <c r="K144" i="20"/>
  <c r="J144" i="20"/>
  <c r="I144" i="20"/>
  <c r="H144" i="20"/>
  <c r="G144" i="20"/>
  <c r="F144" i="20"/>
  <c r="E144" i="20"/>
  <c r="D144" i="20"/>
  <c r="C144" i="20"/>
  <c r="G129" i="20"/>
  <c r="G131" i="20" s="1"/>
  <c r="G31" i="20" s="1"/>
  <c r="F129" i="20"/>
  <c r="F131" i="20" s="1"/>
  <c r="F31" i="20" s="1"/>
  <c r="E129" i="20"/>
  <c r="E131" i="20" s="1"/>
  <c r="E31" i="20" s="1"/>
  <c r="D129" i="20"/>
  <c r="D131" i="20" s="1"/>
  <c r="C129" i="20"/>
  <c r="C25" i="20" s="1"/>
  <c r="L124" i="20"/>
  <c r="L126" i="20" s="1"/>
  <c r="K124" i="20"/>
  <c r="J124" i="20"/>
  <c r="I124" i="20"/>
  <c r="H124" i="20"/>
  <c r="G124" i="20"/>
  <c r="F124" i="20"/>
  <c r="E124" i="20"/>
  <c r="D124" i="20"/>
  <c r="C124" i="20"/>
  <c r="L123" i="20"/>
  <c r="L125" i="20" s="1"/>
  <c r="K123" i="20"/>
  <c r="J123" i="20"/>
  <c r="I123" i="20"/>
  <c r="H123" i="20"/>
  <c r="G123" i="20"/>
  <c r="F123" i="20"/>
  <c r="E123" i="20"/>
  <c r="D123" i="20"/>
  <c r="C123" i="20"/>
  <c r="D108" i="20"/>
  <c r="D41" i="20" s="1"/>
  <c r="C108" i="20"/>
  <c r="C24" i="20" s="1"/>
  <c r="L103" i="20"/>
  <c r="L105" i="20" s="1"/>
  <c r="E107" i="20" s="1"/>
  <c r="K103" i="20"/>
  <c r="J103" i="20"/>
  <c r="I103" i="20"/>
  <c r="H103" i="20"/>
  <c r="G103" i="20"/>
  <c r="F103" i="20"/>
  <c r="E103" i="20"/>
  <c r="D103" i="20"/>
  <c r="C103" i="20"/>
  <c r="L102" i="20"/>
  <c r="L104" i="20" s="1"/>
  <c r="K102" i="20"/>
  <c r="J102" i="20"/>
  <c r="I102" i="20"/>
  <c r="H102" i="20"/>
  <c r="G102" i="20"/>
  <c r="F102" i="20"/>
  <c r="E102" i="20"/>
  <c r="D102" i="20"/>
  <c r="C102" i="20"/>
  <c r="C99" i="20"/>
  <c r="E68" i="20"/>
  <c r="F68" i="20" s="1"/>
  <c r="G68" i="20" s="1"/>
  <c r="H68" i="20" s="1"/>
  <c r="C65" i="20"/>
  <c r="L63" i="20"/>
  <c r="K63" i="20"/>
  <c r="J63" i="20"/>
  <c r="I63" i="20"/>
  <c r="H63" i="20"/>
  <c r="G63" i="20"/>
  <c r="F63" i="20"/>
  <c r="E63" i="20"/>
  <c r="D63" i="20"/>
  <c r="D83" i="20" s="1"/>
  <c r="C63" i="20"/>
  <c r="C83" i="20" s="1"/>
  <c r="C44" i="20"/>
  <c r="D40" i="20"/>
  <c r="C40" i="20"/>
  <c r="L38" i="20"/>
  <c r="L39" i="20" s="1"/>
  <c r="K38" i="20"/>
  <c r="K39" i="20" s="1"/>
  <c r="J38" i="20"/>
  <c r="J39" i="20" s="1"/>
  <c r="I38" i="20"/>
  <c r="I39" i="20" s="1"/>
  <c r="H38" i="20"/>
  <c r="H39" i="20" s="1"/>
  <c r="G38" i="20"/>
  <c r="G39" i="20" s="1"/>
  <c r="F38" i="20"/>
  <c r="F39" i="20" s="1"/>
  <c r="E38" i="20"/>
  <c r="E39" i="20" s="1"/>
  <c r="D38" i="20"/>
  <c r="D39" i="20" s="1"/>
  <c r="C38" i="20"/>
  <c r="C39" i="20" s="1"/>
  <c r="L37" i="20"/>
  <c r="K37" i="20"/>
  <c r="J37" i="20"/>
  <c r="I37" i="20"/>
  <c r="H37" i="20"/>
  <c r="G37" i="20"/>
  <c r="F37" i="20"/>
  <c r="E37" i="20"/>
  <c r="D37" i="20"/>
  <c r="C37" i="20"/>
  <c r="D31" i="20"/>
  <c r="C29" i="20"/>
  <c r="D23" i="20"/>
  <c r="C23" i="20"/>
  <c r="L21" i="20"/>
  <c r="L22" i="20" s="1"/>
  <c r="K21" i="20"/>
  <c r="K22" i="20" s="1"/>
  <c r="J21" i="20"/>
  <c r="J22" i="20" s="1"/>
  <c r="I21" i="20"/>
  <c r="I22" i="20" s="1"/>
  <c r="H21" i="20"/>
  <c r="H22" i="20" s="1"/>
  <c r="G21" i="20"/>
  <c r="G22" i="20" s="1"/>
  <c r="F21" i="20"/>
  <c r="F22" i="20" s="1"/>
  <c r="E21" i="20"/>
  <c r="E22" i="20" s="1"/>
  <c r="D21" i="20"/>
  <c r="D22" i="20" s="1"/>
  <c r="C21" i="20"/>
  <c r="C22" i="20" s="1"/>
  <c r="L20" i="20"/>
  <c r="K20" i="20"/>
  <c r="J20" i="20"/>
  <c r="I20" i="20"/>
  <c r="H20" i="20"/>
  <c r="G20" i="20"/>
  <c r="F20" i="20"/>
  <c r="E20" i="20"/>
  <c r="D20" i="20"/>
  <c r="C20" i="20"/>
  <c r="B3" i="20"/>
  <c r="L22" i="13"/>
  <c r="L23" i="13"/>
  <c r="L24" i="13"/>
  <c r="M22" i="13"/>
  <c r="M23" i="13"/>
  <c r="M24" i="13"/>
  <c r="N22" i="13"/>
  <c r="N23" i="13"/>
  <c r="N24" i="13"/>
  <c r="O22" i="13"/>
  <c r="O23" i="13"/>
  <c r="O24" i="13"/>
  <c r="G18" i="7"/>
  <c r="Q17" i="29" l="1"/>
  <c r="P18" i="29"/>
  <c r="T16" i="29"/>
  <c r="D24" i="20"/>
  <c r="D74" i="20" s="1"/>
  <c r="F25" i="20"/>
  <c r="E152" i="20"/>
  <c r="E32" i="20" s="1"/>
  <c r="E25" i="20"/>
  <c r="D25" i="20"/>
  <c r="D26" i="20"/>
  <c r="D110" i="20"/>
  <c r="D45" i="20" s="1"/>
  <c r="C26" i="20"/>
  <c r="C27" i="20" s="1"/>
  <c r="C110" i="20"/>
  <c r="C30" i="20" s="1"/>
  <c r="D42" i="20"/>
  <c r="D73" i="20"/>
  <c r="E83" i="20"/>
  <c r="H127" i="20"/>
  <c r="I127" i="20" s="1"/>
  <c r="D84" i="20"/>
  <c r="I68" i="20"/>
  <c r="G25" i="20"/>
  <c r="E73" i="20"/>
  <c r="F107" i="20"/>
  <c r="C41" i="20"/>
  <c r="C84" i="20" s="1"/>
  <c r="D88" i="20"/>
  <c r="D89" i="20" s="1"/>
  <c r="D44" i="20" s="1"/>
  <c r="D78" i="20"/>
  <c r="D79" i="20" s="1"/>
  <c r="D29" i="20" s="1"/>
  <c r="C88" i="20"/>
  <c r="C78" i="20"/>
  <c r="E106" i="20"/>
  <c r="E108" i="20" s="1"/>
  <c r="F26" i="20"/>
  <c r="F152" i="20"/>
  <c r="F32" i="20" s="1"/>
  <c r="H128" i="20"/>
  <c r="I149" i="20"/>
  <c r="J149" i="20" s="1"/>
  <c r="K149" i="20" s="1"/>
  <c r="L149" i="20" s="1"/>
  <c r="G26" i="20"/>
  <c r="C131" i="20"/>
  <c r="C31" i="20" s="1"/>
  <c r="H148" i="20"/>
  <c r="H150" i="20" s="1"/>
  <c r="H152" i="20" s="1"/>
  <c r="C73" i="20"/>
  <c r="D10" i="8"/>
  <c r="D16" i="8" s="1"/>
  <c r="C63" i="13"/>
  <c r="C61" i="13"/>
  <c r="C59" i="13"/>
  <c r="C57" i="13"/>
  <c r="C55" i="13"/>
  <c r="K21" i="13"/>
  <c r="O21" i="13" s="1"/>
  <c r="J21" i="13"/>
  <c r="N21" i="13" s="1"/>
  <c r="M21" i="13"/>
  <c r="L20" i="13"/>
  <c r="P20" i="13" s="1"/>
  <c r="M20" i="13"/>
  <c r="N20" i="13"/>
  <c r="O20" i="13"/>
  <c r="L19" i="13"/>
  <c r="P19" i="13" s="1"/>
  <c r="M19" i="13"/>
  <c r="N19" i="13"/>
  <c r="O19" i="13"/>
  <c r="L18" i="13"/>
  <c r="P18" i="13" s="1"/>
  <c r="M18" i="13"/>
  <c r="N18" i="13"/>
  <c r="O18" i="13"/>
  <c r="O17" i="13"/>
  <c r="L17" i="13"/>
  <c r="P17" i="13" s="1"/>
  <c r="C4" i="18"/>
  <c r="C3" i="18"/>
  <c r="C52" i="13"/>
  <c r="K16" i="13"/>
  <c r="O16" i="13" s="1"/>
  <c r="J16" i="13"/>
  <c r="N16" i="13" s="1"/>
  <c r="M17" i="13"/>
  <c r="N17" i="13"/>
  <c r="M16" i="13"/>
  <c r="C50" i="13"/>
  <c r="K15" i="13"/>
  <c r="O15" i="13" s="1"/>
  <c r="J15" i="13"/>
  <c r="N15" i="13" s="1"/>
  <c r="M15" i="13"/>
  <c r="C47" i="13"/>
  <c r="K14" i="13"/>
  <c r="O14" i="13" s="1"/>
  <c r="J14" i="13"/>
  <c r="M14" i="13"/>
  <c r="C45" i="13"/>
  <c r="C44" i="13"/>
  <c r="C42" i="13"/>
  <c r="C41" i="13"/>
  <c r="L5" i="13"/>
  <c r="P5" i="13" s="1"/>
  <c r="M5" i="13"/>
  <c r="N5" i="13"/>
  <c r="O5" i="13"/>
  <c r="G19" i="7"/>
  <c r="G25" i="7" s="1"/>
  <c r="G31" i="7" s="1"/>
  <c r="G37" i="7" s="1"/>
  <c r="K13" i="13"/>
  <c r="O13" i="13" s="1"/>
  <c r="J13" i="13"/>
  <c r="N13" i="13" s="1"/>
  <c r="M13" i="13"/>
  <c r="D27" i="20" l="1"/>
  <c r="R17" i="29"/>
  <c r="Q18" i="29"/>
  <c r="U16" i="29"/>
  <c r="C45" i="20"/>
  <c r="C46" i="20" s="1"/>
  <c r="C74" i="20"/>
  <c r="D30" i="20"/>
  <c r="D33" i="20" s="1"/>
  <c r="D46" i="20"/>
  <c r="C33" i="20"/>
  <c r="F106" i="20"/>
  <c r="F108" i="20" s="1"/>
  <c r="F41" i="20" s="1"/>
  <c r="F84" i="20" s="1"/>
  <c r="H129" i="20"/>
  <c r="H131" i="20" s="1"/>
  <c r="H31" i="20" s="1"/>
  <c r="J127" i="20"/>
  <c r="K127" i="20" s="1"/>
  <c r="I128" i="20"/>
  <c r="J128" i="20" s="1"/>
  <c r="K128" i="20" s="1"/>
  <c r="L128" i="20" s="1"/>
  <c r="I148" i="20"/>
  <c r="J68" i="20"/>
  <c r="E110" i="20"/>
  <c r="E41" i="20"/>
  <c r="E84" i="20" s="1"/>
  <c r="E24" i="20"/>
  <c r="E74" i="20" s="1"/>
  <c r="H32" i="20"/>
  <c r="H26" i="20"/>
  <c r="G107" i="20"/>
  <c r="F83" i="20"/>
  <c r="F73" i="20"/>
  <c r="C42" i="20"/>
  <c r="L21" i="13"/>
  <c r="P21" i="13" s="1"/>
  <c r="L14" i="13"/>
  <c r="P14" i="13" s="1"/>
  <c r="G24" i="7"/>
  <c r="G30" i="7" s="1"/>
  <c r="G36" i="7" s="1"/>
  <c r="G23" i="7"/>
  <c r="G29" i="7" s="1"/>
  <c r="G35" i="7" s="1"/>
  <c r="G22" i="7"/>
  <c r="G28" i="7" s="1"/>
  <c r="G34" i="7" s="1"/>
  <c r="G21" i="7"/>
  <c r="G27" i="7" s="1"/>
  <c r="G33" i="7" s="1"/>
  <c r="G20" i="7"/>
  <c r="G26" i="7" s="1"/>
  <c r="G32" i="7" s="1"/>
  <c r="L16" i="13"/>
  <c r="P16" i="13" s="1"/>
  <c r="L15" i="13"/>
  <c r="P15" i="13" s="1"/>
  <c r="N14" i="13"/>
  <c r="L13" i="13"/>
  <c r="P13" i="13" s="1"/>
  <c r="B41" i="7"/>
  <c r="B42" i="7" s="1"/>
  <c r="B48" i="7" s="1"/>
  <c r="B54" i="7" s="1"/>
  <c r="B60" i="7" s="1"/>
  <c r="V41" i="7"/>
  <c r="V47" i="7" s="1"/>
  <c r="V53" i="7" s="1"/>
  <c r="V59" i="7" s="1"/>
  <c r="Q41" i="7"/>
  <c r="Q47" i="7" s="1"/>
  <c r="Q53" i="7" s="1"/>
  <c r="Q59" i="7" s="1"/>
  <c r="L41" i="7"/>
  <c r="L47" i="7" s="1"/>
  <c r="L53" i="7" s="1"/>
  <c r="L59" i="7" s="1"/>
  <c r="G41" i="7"/>
  <c r="G44" i="7" s="1"/>
  <c r="G50" i="7" s="1"/>
  <c r="G56" i="7" s="1"/>
  <c r="V18" i="7"/>
  <c r="V23" i="7" s="1"/>
  <c r="V29" i="7" s="1"/>
  <c r="V35" i="7" s="1"/>
  <c r="Q18" i="7"/>
  <c r="Q23" i="7" s="1"/>
  <c r="Q29" i="7" s="1"/>
  <c r="Q35" i="7" s="1"/>
  <c r="L18" i="7"/>
  <c r="L21" i="7" s="1"/>
  <c r="L27" i="7" s="1"/>
  <c r="L33" i="7" s="1"/>
  <c r="B18" i="7"/>
  <c r="B24" i="7" s="1"/>
  <c r="S17" i="29" l="1"/>
  <c r="R18" i="29"/>
  <c r="V16" i="29"/>
  <c r="F24" i="20"/>
  <c r="F74" i="20" s="1"/>
  <c r="G106" i="20"/>
  <c r="F110" i="20"/>
  <c r="F30" i="20" s="1"/>
  <c r="H25" i="20"/>
  <c r="K129" i="20"/>
  <c r="K25" i="20" s="1"/>
  <c r="L127" i="20"/>
  <c r="L129" i="20" s="1"/>
  <c r="L131" i="20" s="1"/>
  <c r="L31" i="20" s="1"/>
  <c r="J129" i="20"/>
  <c r="J25" i="20" s="1"/>
  <c r="I150" i="20"/>
  <c r="J148" i="20"/>
  <c r="I129" i="20"/>
  <c r="H107" i="20"/>
  <c r="G83" i="20"/>
  <c r="G73" i="20"/>
  <c r="K68" i="20"/>
  <c r="E30" i="20"/>
  <c r="E45" i="20"/>
  <c r="G108" i="20"/>
  <c r="H106" i="20"/>
  <c r="F45" i="20"/>
  <c r="Q19" i="7"/>
  <c r="Q25" i="7" s="1"/>
  <c r="Q31" i="7" s="1"/>
  <c r="Q37" i="7" s="1"/>
  <c r="G45" i="7"/>
  <c r="G51" i="7" s="1"/>
  <c r="G57" i="7" s="1"/>
  <c r="V43" i="7"/>
  <c r="V49" i="7" s="1"/>
  <c r="V55" i="7" s="1"/>
  <c r="V44" i="7"/>
  <c r="V50" i="7" s="1"/>
  <c r="V56" i="7" s="1"/>
  <c r="Q45" i="7"/>
  <c r="Q51" i="7" s="1"/>
  <c r="Q57" i="7" s="1"/>
  <c r="V45" i="7"/>
  <c r="V51" i="7" s="1"/>
  <c r="V57" i="7" s="1"/>
  <c r="Q42" i="7"/>
  <c r="Q48" i="7" s="1"/>
  <c r="Q54" i="7" s="1"/>
  <c r="Q60" i="7" s="1"/>
  <c r="Q46" i="7"/>
  <c r="Q52" i="7" s="1"/>
  <c r="Q58" i="7" s="1"/>
  <c r="Q44" i="7"/>
  <c r="Q50" i="7" s="1"/>
  <c r="Q56" i="7" s="1"/>
  <c r="V42" i="7"/>
  <c r="V48" i="7" s="1"/>
  <c r="V54" i="7" s="1"/>
  <c r="V60" i="7" s="1"/>
  <c r="V46" i="7"/>
  <c r="V52" i="7" s="1"/>
  <c r="V58" i="7" s="1"/>
  <c r="Q43" i="7"/>
  <c r="Q49" i="7" s="1"/>
  <c r="Q55" i="7" s="1"/>
  <c r="G42" i="7"/>
  <c r="G48" i="7" s="1"/>
  <c r="G54" i="7" s="1"/>
  <c r="G60" i="7" s="1"/>
  <c r="G46" i="7"/>
  <c r="G52" i="7" s="1"/>
  <c r="G58" i="7" s="1"/>
  <c r="L44" i="7"/>
  <c r="L50" i="7" s="1"/>
  <c r="L56" i="7" s="1"/>
  <c r="L46" i="7"/>
  <c r="L52" i="7" s="1"/>
  <c r="L58" i="7" s="1"/>
  <c r="G43" i="7"/>
  <c r="G49" i="7" s="1"/>
  <c r="G55" i="7" s="1"/>
  <c r="G47" i="7"/>
  <c r="G53" i="7" s="1"/>
  <c r="G59" i="7" s="1"/>
  <c r="L45" i="7"/>
  <c r="L51" i="7" s="1"/>
  <c r="L57" i="7" s="1"/>
  <c r="L42" i="7"/>
  <c r="L48" i="7" s="1"/>
  <c r="L54" i="7" s="1"/>
  <c r="L60" i="7" s="1"/>
  <c r="L43" i="7"/>
  <c r="L49" i="7" s="1"/>
  <c r="L55" i="7" s="1"/>
  <c r="V19" i="7"/>
  <c r="V25" i="7" s="1"/>
  <c r="V31" i="7" s="1"/>
  <c r="V37" i="7" s="1"/>
  <c r="V20" i="7"/>
  <c r="V26" i="7" s="1"/>
  <c r="V32" i="7" s="1"/>
  <c r="V21" i="7"/>
  <c r="V27" i="7" s="1"/>
  <c r="V33" i="7" s="1"/>
  <c r="V22" i="7"/>
  <c r="V28" i="7" s="1"/>
  <c r="V34" i="7" s="1"/>
  <c r="B47" i="7"/>
  <c r="B53" i="7" s="1"/>
  <c r="B59" i="7" s="1"/>
  <c r="B46" i="7"/>
  <c r="B52" i="7" s="1"/>
  <c r="B58" i="7" s="1"/>
  <c r="V24" i="7"/>
  <c r="V30" i="7" s="1"/>
  <c r="V36" i="7" s="1"/>
  <c r="B43" i="7"/>
  <c r="B49" i="7" s="1"/>
  <c r="B55" i="7" s="1"/>
  <c r="B44" i="7"/>
  <c r="B50" i="7" s="1"/>
  <c r="B56" i="7" s="1"/>
  <c r="B45" i="7"/>
  <c r="B51" i="7" s="1"/>
  <c r="B57" i="7" s="1"/>
  <c r="Q24" i="7"/>
  <c r="Q30" i="7" s="1"/>
  <c r="Q36" i="7" s="1"/>
  <c r="Q20" i="7"/>
  <c r="Q26" i="7" s="1"/>
  <c r="Q32" i="7" s="1"/>
  <c r="Q21" i="7"/>
  <c r="Q27" i="7" s="1"/>
  <c r="Q33" i="7" s="1"/>
  <c r="Q22" i="7"/>
  <c r="Q28" i="7" s="1"/>
  <c r="Q34" i="7" s="1"/>
  <c r="L23" i="7"/>
  <c r="L29" i="7" s="1"/>
  <c r="L35" i="7" s="1"/>
  <c r="L24" i="7"/>
  <c r="L30" i="7" s="1"/>
  <c r="L36" i="7" s="1"/>
  <c r="L19" i="7"/>
  <c r="L25" i="7" s="1"/>
  <c r="L31" i="7" s="1"/>
  <c r="L37" i="7" s="1"/>
  <c r="L20" i="7"/>
  <c r="L26" i="7" s="1"/>
  <c r="L32" i="7" s="1"/>
  <c r="L22" i="7"/>
  <c r="L28" i="7" s="1"/>
  <c r="L34" i="7" s="1"/>
  <c r="B20" i="7"/>
  <c r="B19" i="7"/>
  <c r="B21" i="7"/>
  <c r="B22" i="7"/>
  <c r="B23" i="7"/>
  <c r="E14" i="9"/>
  <c r="E20" i="9" s="1"/>
  <c r="D14" i="9"/>
  <c r="T17" i="29" l="1"/>
  <c r="S18" i="29"/>
  <c r="W16" i="29"/>
  <c r="J131" i="20"/>
  <c r="J31" i="20" s="1"/>
  <c r="K131" i="20"/>
  <c r="K31" i="20" s="1"/>
  <c r="L25" i="20"/>
  <c r="I131" i="20"/>
  <c r="I31" i="20" s="1"/>
  <c r="I25" i="20"/>
  <c r="J150" i="20"/>
  <c r="K148" i="20"/>
  <c r="I152" i="20"/>
  <c r="I32" i="20" s="1"/>
  <c r="I26" i="20"/>
  <c r="G110" i="20"/>
  <c r="G41" i="20"/>
  <c r="G84" i="20" s="1"/>
  <c r="G24" i="20"/>
  <c r="G74" i="20" s="1"/>
  <c r="H83" i="20"/>
  <c r="H73" i="20"/>
  <c r="I107" i="20"/>
  <c r="L68" i="20"/>
  <c r="H108" i="20"/>
  <c r="I106" i="20"/>
  <c r="D20" i="9"/>
  <c r="E13" i="9"/>
  <c r="E18" i="9" s="1"/>
  <c r="D13" i="9"/>
  <c r="C6" i="8"/>
  <c r="U17" i="29" l="1"/>
  <c r="T18" i="29"/>
  <c r="X16" i="29"/>
  <c r="K150" i="20"/>
  <c r="L148" i="20"/>
  <c r="L150" i="20" s="1"/>
  <c r="J152" i="20"/>
  <c r="J32" i="20" s="1"/>
  <c r="J26" i="20"/>
  <c r="J107" i="20"/>
  <c r="I83" i="20"/>
  <c r="I73" i="20"/>
  <c r="G30" i="20"/>
  <c r="G45" i="20"/>
  <c r="I108" i="20"/>
  <c r="J106" i="20"/>
  <c r="H41" i="20"/>
  <c r="H84" i="20" s="1"/>
  <c r="H24" i="20"/>
  <c r="H74" i="20" s="1"/>
  <c r="H110" i="20"/>
  <c r="D18" i="9"/>
  <c r="L11" i="13"/>
  <c r="P11" i="13" s="1"/>
  <c r="M11" i="13"/>
  <c r="N11" i="13"/>
  <c r="O11" i="13"/>
  <c r="K10" i="13"/>
  <c r="J10" i="13"/>
  <c r="I10" i="13"/>
  <c r="C38" i="13"/>
  <c r="L12" i="13"/>
  <c r="P12" i="13" s="1"/>
  <c r="M12" i="13"/>
  <c r="N12" i="13"/>
  <c r="O12" i="13"/>
  <c r="D11" i="8"/>
  <c r="V17" i="29" l="1"/>
  <c r="U18" i="29"/>
  <c r="Y16" i="29"/>
  <c r="L152" i="20"/>
  <c r="L32" i="20" s="1"/>
  <c r="L26" i="20"/>
  <c r="K152" i="20"/>
  <c r="K32" i="20" s="1"/>
  <c r="K26" i="20"/>
  <c r="H45" i="20"/>
  <c r="H30" i="20"/>
  <c r="J108" i="20"/>
  <c r="K106" i="20"/>
  <c r="I110" i="20"/>
  <c r="I41" i="20"/>
  <c r="I84" i="20" s="1"/>
  <c r="I24" i="20"/>
  <c r="I74" i="20" s="1"/>
  <c r="J83" i="20"/>
  <c r="J73" i="20"/>
  <c r="K107" i="20"/>
  <c r="D17" i="8"/>
  <c r="D18" i="8" s="1"/>
  <c r="F14" i="9" s="1"/>
  <c r="F20" i="9" s="1"/>
  <c r="F21" i="9" s="1"/>
  <c r="D12" i="8"/>
  <c r="W17" i="29" l="1"/>
  <c r="V18" i="29"/>
  <c r="Z16" i="29"/>
  <c r="J110" i="20"/>
  <c r="J41" i="20"/>
  <c r="J84" i="20" s="1"/>
  <c r="J24" i="20"/>
  <c r="J74" i="20" s="1"/>
  <c r="I30" i="20"/>
  <c r="I45" i="20"/>
  <c r="K83" i="20"/>
  <c r="K73" i="20"/>
  <c r="L107" i="20"/>
  <c r="K108" i="20"/>
  <c r="L106" i="20"/>
  <c r="F13" i="9"/>
  <c r="F18" i="9" s="1"/>
  <c r="F19" i="9" s="1"/>
  <c r="X17" i="29" l="1"/>
  <c r="W18" i="29"/>
  <c r="AA16" i="29"/>
  <c r="L108" i="20"/>
  <c r="L24" i="20" s="1"/>
  <c r="J45" i="20"/>
  <c r="J30" i="20"/>
  <c r="K41" i="20"/>
  <c r="K84" i="20" s="1"/>
  <c r="K24" i="20"/>
  <c r="K74" i="20" s="1"/>
  <c r="K110" i="20"/>
  <c r="L83" i="20"/>
  <c r="L73" i="20"/>
  <c r="L41" i="20"/>
  <c r="L84" i="20" s="1"/>
  <c r="Y17" i="29" l="1"/>
  <c r="X18" i="29"/>
  <c r="AB16" i="29"/>
  <c r="L110" i="20"/>
  <c r="L30" i="20" s="1"/>
  <c r="L85" i="20"/>
  <c r="K30" i="20"/>
  <c r="K45" i="20"/>
  <c r="L74" i="20"/>
  <c r="L75" i="20" s="1"/>
  <c r="Z17" i="29" l="1"/>
  <c r="Y18" i="29"/>
  <c r="AC16" i="29"/>
  <c r="L45" i="20"/>
  <c r="E86" i="20"/>
  <c r="F86" i="20" s="1"/>
  <c r="G86" i="20" s="1"/>
  <c r="E76" i="20"/>
  <c r="AA17" i="29" l="1"/>
  <c r="Z18" i="29"/>
  <c r="AD16" i="29"/>
  <c r="G40" i="20"/>
  <c r="G88" i="20"/>
  <c r="G89" i="20" s="1"/>
  <c r="G44" i="20" s="1"/>
  <c r="G46" i="20" s="1"/>
  <c r="H86" i="20"/>
  <c r="E78" i="20"/>
  <c r="E79" i="20" s="1"/>
  <c r="E29" i="20" s="1"/>
  <c r="E33" i="20" s="1"/>
  <c r="E23" i="20"/>
  <c r="E27" i="20" s="1"/>
  <c r="F76" i="20"/>
  <c r="E88" i="20"/>
  <c r="E89" i="20" s="1"/>
  <c r="E44" i="20" s="1"/>
  <c r="E46" i="20" s="1"/>
  <c r="E40" i="20"/>
  <c r="F88" i="20"/>
  <c r="F89" i="20" s="1"/>
  <c r="F44" i="20" s="1"/>
  <c r="F46" i="20" s="1"/>
  <c r="F40" i="20"/>
  <c r="AB17" i="29" l="1"/>
  <c r="AA18" i="29"/>
  <c r="AE16" i="29"/>
  <c r="E48" i="20"/>
  <c r="E42" i="20"/>
  <c r="F78" i="20"/>
  <c r="F79" i="20" s="1"/>
  <c r="F29" i="20" s="1"/>
  <c r="F33" i="20" s="1"/>
  <c r="F23" i="20"/>
  <c r="F27" i="20" s="1"/>
  <c r="G76" i="20"/>
  <c r="H40" i="20"/>
  <c r="H88" i="20"/>
  <c r="H89" i="20" s="1"/>
  <c r="H44" i="20" s="1"/>
  <c r="H46" i="20" s="1"/>
  <c r="I86" i="20"/>
  <c r="F48" i="20"/>
  <c r="F42" i="20"/>
  <c r="G48" i="20"/>
  <c r="G42" i="20"/>
  <c r="AC17" i="29" l="1"/>
  <c r="AB18" i="29"/>
  <c r="AF16" i="29"/>
  <c r="I40" i="20"/>
  <c r="I88" i="20"/>
  <c r="I89" i="20" s="1"/>
  <c r="I44" i="20" s="1"/>
  <c r="I46" i="20" s="1"/>
  <c r="J86" i="20"/>
  <c r="H48" i="20"/>
  <c r="H42" i="20"/>
  <c r="G23" i="20"/>
  <c r="G27" i="20" s="1"/>
  <c r="G78" i="20"/>
  <c r="G79" i="20" s="1"/>
  <c r="G29" i="20" s="1"/>
  <c r="G33" i="20" s="1"/>
  <c r="H76" i="20"/>
  <c r="AD17" i="29" l="1"/>
  <c r="AC18" i="29"/>
  <c r="AG16" i="29"/>
  <c r="I48" i="20"/>
  <c r="I42" i="20"/>
  <c r="H23" i="20"/>
  <c r="H27" i="20" s="1"/>
  <c r="H78" i="20"/>
  <c r="H79" i="20" s="1"/>
  <c r="H29" i="20" s="1"/>
  <c r="H33" i="20" s="1"/>
  <c r="I76" i="20"/>
  <c r="J88" i="20"/>
  <c r="J89" i="20" s="1"/>
  <c r="J44" i="20" s="1"/>
  <c r="J46" i="20" s="1"/>
  <c r="J40" i="20"/>
  <c r="K86" i="20"/>
  <c r="AE17" i="29" l="1"/>
  <c r="AD18" i="29"/>
  <c r="AH16" i="29"/>
  <c r="K40" i="20"/>
  <c r="K88" i="20"/>
  <c r="K89" i="20" s="1"/>
  <c r="K44" i="20" s="1"/>
  <c r="K46" i="20" s="1"/>
  <c r="L86" i="20"/>
  <c r="J48" i="20"/>
  <c r="J42" i="20"/>
  <c r="I23" i="20"/>
  <c r="I27" i="20" s="1"/>
  <c r="I78" i="20"/>
  <c r="I79" i="20" s="1"/>
  <c r="I29" i="20" s="1"/>
  <c r="I33" i="20" s="1"/>
  <c r="J76" i="20"/>
  <c r="AF17" i="29" l="1"/>
  <c r="AE18" i="29"/>
  <c r="AI16" i="29"/>
  <c r="J78" i="20"/>
  <c r="J79" i="20" s="1"/>
  <c r="J29" i="20" s="1"/>
  <c r="J33" i="20" s="1"/>
  <c r="J23" i="20"/>
  <c r="J27" i="20" s="1"/>
  <c r="K76" i="20"/>
  <c r="K48" i="20"/>
  <c r="K42" i="20"/>
  <c r="L88" i="20"/>
  <c r="L89" i="20" s="1"/>
  <c r="L44" i="20" s="1"/>
  <c r="L46" i="20" s="1"/>
  <c r="L40" i="20"/>
  <c r="AG17" i="29" l="1"/>
  <c r="AF18" i="29"/>
  <c r="L48" i="20"/>
  <c r="M40" i="20"/>
  <c r="L42" i="20"/>
  <c r="K23" i="20"/>
  <c r="K27" i="20" s="1"/>
  <c r="K78" i="20"/>
  <c r="K79" i="20" s="1"/>
  <c r="K29" i="20" s="1"/>
  <c r="K33" i="20" s="1"/>
  <c r="L76" i="20"/>
  <c r="AH17" i="29" l="1"/>
  <c r="AG18" i="29"/>
  <c r="L78" i="20"/>
  <c r="L79" i="20" s="1"/>
  <c r="L29" i="20" s="1"/>
  <c r="L33" i="20" s="1"/>
  <c r="L23" i="20"/>
  <c r="AI17" i="29" l="1"/>
  <c r="AI18" i="29" s="1"/>
  <c r="AH18" i="29"/>
  <c r="L34" i="20"/>
  <c r="K35" i="20"/>
  <c r="M23" i="20"/>
  <c r="L27" i="20"/>
  <c r="M25" i="20"/>
  <c r="M26" i="20"/>
  <c r="M24" i="20"/>
  <c r="L10" i="13" l="1"/>
  <c r="P10" i="13" s="1"/>
  <c r="M10" i="13"/>
  <c r="N10" i="13"/>
  <c r="O10" i="13"/>
  <c r="C31" i="13"/>
  <c r="L9" i="13"/>
  <c r="C23" i="13"/>
  <c r="O4" i="13"/>
  <c r="O6" i="13"/>
  <c r="O7" i="13"/>
  <c r="O8" i="13"/>
  <c r="O9" i="13"/>
  <c r="N6" i="13"/>
  <c r="N7" i="13"/>
  <c r="N8" i="13"/>
  <c r="N9" i="13"/>
  <c r="M4" i="13"/>
  <c r="M7" i="13"/>
  <c r="M8" i="13"/>
  <c r="M9" i="13"/>
  <c r="M6" i="13"/>
  <c r="C33" i="13"/>
  <c r="C30" i="13"/>
  <c r="L7" i="13"/>
  <c r="P7" i="13" s="1"/>
  <c r="L8" i="13"/>
  <c r="P8" i="13" s="1"/>
  <c r="L6" i="13"/>
  <c r="P6" i="13" s="1"/>
  <c r="J4" i="13"/>
  <c r="L4" i="13" s="1"/>
  <c r="P4" i="13" s="1"/>
  <c r="G17" i="23" s="1"/>
  <c r="G18" i="23" l="1"/>
  <c r="G19" i="23" s="1"/>
  <c r="N4" i="13"/>
  <c r="P9" i="13"/>
  <c r="D3" i="21" l="1"/>
  <c r="C30" i="21" a="1"/>
  <c r="C30" i="21" s="1"/>
  <c r="D30" i="21" s="1"/>
  <c r="U30" i="21" s="1"/>
  <c r="C32" i="21" a="1"/>
  <c r="C32" i="21" s="1"/>
  <c r="D32" i="21" s="1"/>
  <c r="C42" i="21" a="1"/>
  <c r="C42" i="21" s="1"/>
  <c r="D42" i="21" s="1"/>
  <c r="C44" i="21" a="1"/>
  <c r="C44" i="21" s="1"/>
  <c r="D44" i="21" s="1"/>
  <c r="E44" i="21" s="1"/>
  <c r="C43" i="21" a="1"/>
  <c r="C43" i="21" s="1"/>
  <c r="D43" i="21" s="1"/>
  <c r="C45" i="21" a="1"/>
  <c r="C45" i="21" s="1"/>
  <c r="D45" i="21" s="1"/>
  <c r="C40" i="21" a="1"/>
  <c r="C40" i="21" s="1"/>
  <c r="D40" i="21" s="1"/>
  <c r="E40" i="21" s="1"/>
  <c r="C39" i="21" a="1"/>
  <c r="C39" i="21" s="1"/>
  <c r="D39" i="21" s="1"/>
  <c r="C31" i="21" a="1"/>
  <c r="C31" i="21" s="1"/>
  <c r="C35" i="21" a="1"/>
  <c r="C35" i="21" s="1"/>
  <c r="D35" i="21" s="1"/>
  <c r="AG35" i="21" s="1"/>
  <c r="C34" i="21" a="1"/>
  <c r="C34" i="21" s="1"/>
  <c r="D34" i="21" s="1"/>
  <c r="C36" i="21" a="1"/>
  <c r="C36" i="21" s="1"/>
  <c r="D36" i="21" s="1"/>
  <c r="C33" i="21" a="1"/>
  <c r="C33" i="21" s="1"/>
  <c r="D33" i="21" s="1"/>
  <c r="C48" i="21" a="1"/>
  <c r="C48" i="21" s="1"/>
  <c r="D48" i="21" s="1"/>
  <c r="E48" i="21" s="1"/>
  <c r="C47" i="21" a="1"/>
  <c r="C47" i="21" s="1"/>
  <c r="D47" i="21" s="1"/>
  <c r="AG47" i="21" s="1"/>
  <c r="C46" i="21" a="1"/>
  <c r="C46" i="21" s="1"/>
  <c r="D46" i="21" s="1"/>
  <c r="C41" i="21" a="1"/>
  <c r="C41" i="21" s="1"/>
  <c r="D41" i="21" s="1"/>
  <c r="C38" i="21" a="1"/>
  <c r="C38" i="21" s="1"/>
  <c r="D38" i="21" s="1"/>
  <c r="C37" i="21" a="1"/>
  <c r="C37" i="21" s="1"/>
  <c r="D37" i="21" s="1"/>
  <c r="E37" i="21" s="1"/>
  <c r="C49" i="21" a="1"/>
  <c r="C49" i="21" s="1"/>
  <c r="D49" i="21" s="1"/>
  <c r="AG49" i="21" s="1"/>
  <c r="C15" i="21" a="1"/>
  <c r="C15" i="21" s="1"/>
  <c r="D15" i="21" s="1"/>
  <c r="AG15" i="21" s="1"/>
  <c r="BD15" i="21" s="1"/>
  <c r="C7" i="21" a="1"/>
  <c r="C7" i="21" s="1"/>
  <c r="D7" i="21" s="1"/>
  <c r="C14" i="21" a="1"/>
  <c r="C14" i="21" s="1"/>
  <c r="D14" i="21" s="1"/>
  <c r="AG14" i="21" s="1"/>
  <c r="BD14" i="21" s="1"/>
  <c r="C21" i="21" a="1"/>
  <c r="C21" i="21" s="1"/>
  <c r="D21" i="21" s="1"/>
  <c r="AG21" i="21" s="1"/>
  <c r="BD21" i="21" s="1"/>
  <c r="C5" i="21" a="1"/>
  <c r="C5" i="21" s="1"/>
  <c r="C20" i="21" a="1"/>
  <c r="C20" i="21" s="1"/>
  <c r="D20" i="21" s="1"/>
  <c r="C12" i="21" a="1"/>
  <c r="C12" i="21" s="1"/>
  <c r="D12" i="21" s="1"/>
  <c r="AG12" i="21" s="1"/>
  <c r="BD12" i="21" s="1"/>
  <c r="C11" i="21" a="1"/>
  <c r="C11" i="21" s="1"/>
  <c r="D11" i="21" s="1"/>
  <c r="C10" i="21" a="1"/>
  <c r="C10" i="21" s="1"/>
  <c r="D10" i="21" s="1"/>
  <c r="C9" i="21" a="1"/>
  <c r="C9" i="21" s="1"/>
  <c r="D9" i="21" s="1"/>
  <c r="C22" i="21" a="1"/>
  <c r="C22" i="21" s="1"/>
  <c r="D22" i="21" s="1"/>
  <c r="C6" i="21" a="1"/>
  <c r="C6" i="21" s="1"/>
  <c r="D6" i="21" s="1"/>
  <c r="C13" i="21" a="1"/>
  <c r="C13" i="21" s="1"/>
  <c r="D13" i="21" s="1"/>
  <c r="C19" i="21" a="1"/>
  <c r="C19" i="21" s="1"/>
  <c r="D19" i="21" s="1"/>
  <c r="C18" i="21" a="1"/>
  <c r="C18" i="21" s="1"/>
  <c r="D18" i="21" s="1"/>
  <c r="C17" i="21" a="1"/>
  <c r="C17" i="21" s="1"/>
  <c r="D17" i="21" s="1"/>
  <c r="C16" i="21" a="1"/>
  <c r="C16" i="21" s="1"/>
  <c r="D16" i="21" s="1"/>
  <c r="C8" i="21" a="1"/>
  <c r="C8" i="21" s="1"/>
  <c r="D8" i="21" s="1"/>
  <c r="AG8" i="21" s="1"/>
  <c r="BD8" i="21" s="1"/>
  <c r="U32" i="21" l="1"/>
  <c r="AS32" i="21" s="1"/>
  <c r="D5" i="21"/>
  <c r="C24" i="21"/>
  <c r="E45" i="21"/>
  <c r="BE45" i="21" s="1"/>
  <c r="AG45" i="21"/>
  <c r="AG37" i="21"/>
  <c r="E6" i="21"/>
  <c r="BE6" i="21" s="1"/>
  <c r="U6" i="21"/>
  <c r="AS6" i="21" s="1"/>
  <c r="AG6" i="21"/>
  <c r="BD6" i="21" s="1"/>
  <c r="U20" i="21"/>
  <c r="AS20" i="21" s="1"/>
  <c r="E20" i="21"/>
  <c r="AG20" i="21"/>
  <c r="BD20" i="21" s="1"/>
  <c r="U9" i="21"/>
  <c r="AS9" i="21" s="1"/>
  <c r="AG9" i="21"/>
  <c r="BD9" i="21" s="1"/>
  <c r="E9" i="21"/>
  <c r="AT9" i="21" s="1"/>
  <c r="U16" i="21"/>
  <c r="AS16" i="21" s="1"/>
  <c r="E16" i="21"/>
  <c r="BE16" i="21" s="1"/>
  <c r="AG16" i="21"/>
  <c r="BD16" i="21" s="1"/>
  <c r="U10" i="21"/>
  <c r="AS10" i="21" s="1"/>
  <c r="E10" i="21"/>
  <c r="BE10" i="21" s="1"/>
  <c r="AG10" i="21"/>
  <c r="BD10" i="21" s="1"/>
  <c r="U22" i="21"/>
  <c r="AS22" i="21" s="1"/>
  <c r="AG22" i="21"/>
  <c r="BD22" i="21" s="1"/>
  <c r="E22" i="21"/>
  <c r="U11" i="21"/>
  <c r="AS11" i="21" s="1"/>
  <c r="AG11" i="21"/>
  <c r="BD11" i="21" s="1"/>
  <c r="E11" i="21"/>
  <c r="BE11" i="21" s="1"/>
  <c r="E7" i="21"/>
  <c r="AT7" i="21" s="1"/>
  <c r="U7" i="21"/>
  <c r="AS7" i="21" s="1"/>
  <c r="AG7" i="21"/>
  <c r="BD7" i="21" s="1"/>
  <c r="F37" i="21"/>
  <c r="AU37" i="21" s="1"/>
  <c r="AH37" i="21"/>
  <c r="V37" i="21"/>
  <c r="U19" i="21"/>
  <c r="AS19" i="21" s="1"/>
  <c r="E19" i="21"/>
  <c r="BE19" i="21" s="1"/>
  <c r="C6" i="18"/>
  <c r="U33" i="21"/>
  <c r="E33" i="21"/>
  <c r="BE33" i="21" s="1"/>
  <c r="AG33" i="21"/>
  <c r="U14" i="21"/>
  <c r="AS14" i="21" s="1"/>
  <c r="C25" i="21"/>
  <c r="D4" i="21"/>
  <c r="U41" i="21"/>
  <c r="AG41" i="21"/>
  <c r="E41" i="21"/>
  <c r="AT41" i="21" s="1"/>
  <c r="AG36" i="21"/>
  <c r="U36" i="21"/>
  <c r="C51" i="21"/>
  <c r="P51" i="21" s="1"/>
  <c r="C52" i="21"/>
  <c r="D31" i="21"/>
  <c r="E17" i="21"/>
  <c r="BE17" i="21" s="1"/>
  <c r="U17" i="21"/>
  <c r="AS17" i="21" s="1"/>
  <c r="U21" i="21"/>
  <c r="AS21" i="21" s="1"/>
  <c r="E21" i="21"/>
  <c r="U15" i="21"/>
  <c r="AS15" i="21" s="1"/>
  <c r="E15" i="21"/>
  <c r="AT15" i="21" s="1"/>
  <c r="E46" i="21"/>
  <c r="AT46" i="21" s="1"/>
  <c r="U46" i="21"/>
  <c r="AG46" i="21"/>
  <c r="U39" i="21"/>
  <c r="E39" i="21"/>
  <c r="AG39" i="21"/>
  <c r="F44" i="21"/>
  <c r="AU44" i="21" s="1"/>
  <c r="AH44" i="21"/>
  <c r="V44" i="21"/>
  <c r="E13" i="21"/>
  <c r="AT13" i="21" s="1"/>
  <c r="U13" i="21"/>
  <c r="AS13" i="21" s="1"/>
  <c r="U12" i="21"/>
  <c r="AS12" i="21" s="1"/>
  <c r="E12" i="21"/>
  <c r="AT12" i="21" s="1"/>
  <c r="U49" i="21"/>
  <c r="E49" i="21"/>
  <c r="U18" i="21"/>
  <c r="AS18" i="21" s="1"/>
  <c r="E18" i="21"/>
  <c r="AT18" i="21" s="1"/>
  <c r="U37" i="21"/>
  <c r="BE37" i="21"/>
  <c r="AT37" i="21"/>
  <c r="U47" i="21"/>
  <c r="E47" i="21"/>
  <c r="E36" i="21"/>
  <c r="AG13" i="21"/>
  <c r="BD13" i="21" s="1"/>
  <c r="AG17" i="21"/>
  <c r="BD17" i="21" s="1"/>
  <c r="E14" i="21"/>
  <c r="AT14" i="21" s="1"/>
  <c r="V48" i="21"/>
  <c r="AH48" i="21"/>
  <c r="F48" i="21"/>
  <c r="U34" i="21"/>
  <c r="E34" i="21"/>
  <c r="BE34" i="21" s="1"/>
  <c r="AG34" i="21"/>
  <c r="U43" i="21"/>
  <c r="AG43" i="21"/>
  <c r="E43" i="21"/>
  <c r="AT43" i="21" s="1"/>
  <c r="U8" i="21"/>
  <c r="AS8" i="21" s="1"/>
  <c r="E8" i="21"/>
  <c r="AT8" i="21" s="1"/>
  <c r="AG18" i="21"/>
  <c r="BD18" i="21" s="1"/>
  <c r="AG19" i="21"/>
  <c r="BD19" i="21" s="1"/>
  <c r="C6" i="25"/>
  <c r="U38" i="21"/>
  <c r="E38" i="21"/>
  <c r="AT38" i="21" s="1"/>
  <c r="AG38" i="21"/>
  <c r="BE40" i="21"/>
  <c r="E42" i="21"/>
  <c r="AT42" i="21" s="1"/>
  <c r="U42" i="21"/>
  <c r="AG42" i="21"/>
  <c r="BE44" i="21"/>
  <c r="AG44" i="21"/>
  <c r="U44" i="21"/>
  <c r="U40" i="21"/>
  <c r="AG40" i="21"/>
  <c r="AT44" i="21"/>
  <c r="AG48" i="21"/>
  <c r="V40" i="21"/>
  <c r="F40" i="21"/>
  <c r="AH40" i="21"/>
  <c r="U48" i="21"/>
  <c r="U35" i="21"/>
  <c r="E35" i="21"/>
  <c r="BE35" i="21" s="1"/>
  <c r="AT40" i="21"/>
  <c r="U45" i="21"/>
  <c r="AG30" i="21"/>
  <c r="E30" i="21"/>
  <c r="AG32" i="21"/>
  <c r="E32" i="21"/>
  <c r="BE32" i="21" s="1"/>
  <c r="AG3" i="21"/>
  <c r="U3" i="21"/>
  <c r="E3" i="21"/>
  <c r="F3" i="21" s="1"/>
  <c r="X31" i="21" l="1"/>
  <c r="AJ31" i="21"/>
  <c r="AJ4" i="21"/>
  <c r="X4" i="21"/>
  <c r="P23" i="21"/>
  <c r="P24" i="21" s="1"/>
  <c r="AT45" i="21"/>
  <c r="BD32" i="21"/>
  <c r="E5" i="21"/>
  <c r="F5" i="21" s="1"/>
  <c r="E31" i="21" a="1"/>
  <c r="E31" i="21" s="1"/>
  <c r="E51" i="21" s="1"/>
  <c r="AG5" i="21"/>
  <c r="BD5" i="21" s="1"/>
  <c r="U5" i="21"/>
  <c r="AS5" i="21" s="1"/>
  <c r="D24" i="21"/>
  <c r="AH45" i="21"/>
  <c r="P14" i="21"/>
  <c r="V45" i="21"/>
  <c r="F45" i="21"/>
  <c r="BF45" i="21" s="1"/>
  <c r="BE13" i="21"/>
  <c r="AT34" i="21"/>
  <c r="BE7" i="21"/>
  <c r="BE43" i="21"/>
  <c r="AT6" i="21"/>
  <c r="AT10" i="21"/>
  <c r="AT33" i="21"/>
  <c r="BE12" i="21"/>
  <c r="BE9" i="21"/>
  <c r="BE8" i="21"/>
  <c r="BE18" i="21"/>
  <c r="AS35" i="21"/>
  <c r="BD35" i="21"/>
  <c r="F36" i="21"/>
  <c r="BF36" i="21" s="1"/>
  <c r="V36" i="21"/>
  <c r="AH36" i="21"/>
  <c r="BD46" i="21"/>
  <c r="AS46" i="21"/>
  <c r="F21" i="21"/>
  <c r="V21" i="21"/>
  <c r="AH21" i="21"/>
  <c r="AS41" i="21"/>
  <c r="BD41" i="21"/>
  <c r="BD33" i="21"/>
  <c r="AS33" i="21"/>
  <c r="F22" i="21"/>
  <c r="V22" i="21"/>
  <c r="AH22" i="21"/>
  <c r="V3" i="21"/>
  <c r="AH3" i="21"/>
  <c r="F30" i="21"/>
  <c r="V30" i="21"/>
  <c r="AH30" i="21"/>
  <c r="AS48" i="21"/>
  <c r="BD48" i="21"/>
  <c r="AS44" i="21"/>
  <c r="BD44" i="21"/>
  <c r="BD43" i="21"/>
  <c r="AS43" i="21"/>
  <c r="F47" i="21"/>
  <c r="V47" i="21"/>
  <c r="AH47" i="21"/>
  <c r="K44" i="21"/>
  <c r="G44" i="21"/>
  <c r="AI44" i="21"/>
  <c r="W44" i="21"/>
  <c r="BE36" i="21"/>
  <c r="L4" i="21"/>
  <c r="L24" i="21" s="1"/>
  <c r="D25" i="21"/>
  <c r="U4" i="21"/>
  <c r="AS4" i="21" s="1"/>
  <c r="AG4" i="21"/>
  <c r="BD4" i="21" s="1"/>
  <c r="V6" i="21"/>
  <c r="F6" i="21"/>
  <c r="BF6" i="21" s="1"/>
  <c r="AH6" i="21"/>
  <c r="AS47" i="21"/>
  <c r="BD47" i="21"/>
  <c r="F49" i="21"/>
  <c r="AH49" i="21"/>
  <c r="V49" i="21"/>
  <c r="V46" i="21"/>
  <c r="AH46" i="21"/>
  <c r="F46" i="21"/>
  <c r="BF46" i="21" s="1"/>
  <c r="AT17" i="21"/>
  <c r="AS36" i="21"/>
  <c r="BD36" i="21"/>
  <c r="V7" i="21"/>
  <c r="AH7" i="21"/>
  <c r="F7" i="21"/>
  <c r="AU7" i="21" s="1"/>
  <c r="V16" i="21"/>
  <c r="F16" i="21"/>
  <c r="AU16" i="21" s="1"/>
  <c r="AH16" i="21"/>
  <c r="V35" i="21"/>
  <c r="AH35" i="21"/>
  <c r="F35" i="21"/>
  <c r="BF35" i="21" s="1"/>
  <c r="AT35" i="21"/>
  <c r="AS34" i="21"/>
  <c r="BD34" i="21"/>
  <c r="P42" i="21"/>
  <c r="AS3" i="21"/>
  <c r="V8" i="21"/>
  <c r="F8" i="21"/>
  <c r="BF8" i="21" s="1"/>
  <c r="AH8" i="21"/>
  <c r="BE14" i="21"/>
  <c r="BD49" i="21"/>
  <c r="AS49" i="21"/>
  <c r="V39" i="21"/>
  <c r="F39" i="21"/>
  <c r="BF39" i="21" s="1"/>
  <c r="AH39" i="21"/>
  <c r="BE46" i="21"/>
  <c r="BF37" i="21"/>
  <c r="F11" i="21"/>
  <c r="BF11" i="21" s="1"/>
  <c r="AH11" i="21"/>
  <c r="V11" i="21"/>
  <c r="AT16" i="21"/>
  <c r="F20" i="21"/>
  <c r="V20" i="21"/>
  <c r="AH20" i="21"/>
  <c r="K40" i="21"/>
  <c r="W40" i="21"/>
  <c r="AI40" i="21"/>
  <c r="G40" i="21"/>
  <c r="BD42" i="21"/>
  <c r="AS42" i="21"/>
  <c r="AS30" i="21"/>
  <c r="BD30" i="21"/>
  <c r="AH42" i="21"/>
  <c r="F42" i="21"/>
  <c r="AU42" i="21" s="1"/>
  <c r="V42" i="21"/>
  <c r="K48" i="21"/>
  <c r="W48" i="21"/>
  <c r="AI48" i="21"/>
  <c r="G48" i="21"/>
  <c r="BD3" i="21"/>
  <c r="BF40" i="21"/>
  <c r="BD40" i="21"/>
  <c r="AS40" i="21"/>
  <c r="V32" i="21"/>
  <c r="F32" i="21"/>
  <c r="BF32" i="21" s="1"/>
  <c r="AH32" i="21"/>
  <c r="AS45" i="21"/>
  <c r="BD45" i="21"/>
  <c r="BE42" i="21"/>
  <c r="AU40" i="21"/>
  <c r="AH13" i="21"/>
  <c r="V13" i="21"/>
  <c r="F13" i="21"/>
  <c r="BE39" i="21"/>
  <c r="AT36" i="21"/>
  <c r="G10" i="8"/>
  <c r="R10" i="8"/>
  <c r="AD10" i="8"/>
  <c r="W10" i="8"/>
  <c r="M10" i="8"/>
  <c r="J10" i="8"/>
  <c r="N10" i="8"/>
  <c r="H10" i="8"/>
  <c r="I10" i="8"/>
  <c r="AB10" i="8"/>
  <c r="O10" i="8"/>
  <c r="Q10" i="8"/>
  <c r="AG10" i="8"/>
  <c r="AE10" i="8"/>
  <c r="AI10" i="8"/>
  <c r="AF10" i="8"/>
  <c r="U11" i="8"/>
  <c r="T11" i="8"/>
  <c r="H11" i="8"/>
  <c r="S10" i="8"/>
  <c r="K10" i="8"/>
  <c r="AC10" i="8"/>
  <c r="AH10" i="8"/>
  <c r="E17" i="8"/>
  <c r="F17" i="8" s="1"/>
  <c r="AD11" i="8"/>
  <c r="AI11" i="8"/>
  <c r="K11" i="8"/>
  <c r="T10" i="8"/>
  <c r="Y10" i="8"/>
  <c r="AA10" i="8"/>
  <c r="F10" i="8"/>
  <c r="F11" i="8"/>
  <c r="W11" i="8"/>
  <c r="AB11" i="8"/>
  <c r="O11" i="8"/>
  <c r="E11" i="8"/>
  <c r="Z10" i="8"/>
  <c r="U10" i="8"/>
  <c r="G11" i="8"/>
  <c r="Q11" i="8"/>
  <c r="Y11" i="8"/>
  <c r="AA11" i="8"/>
  <c r="L10" i="8"/>
  <c r="P10" i="8"/>
  <c r="X10" i="8"/>
  <c r="E10" i="8"/>
  <c r="AH11" i="8"/>
  <c r="AF11" i="8"/>
  <c r="S11" i="8"/>
  <c r="AG11" i="8"/>
  <c r="L11" i="8"/>
  <c r="R11" i="8"/>
  <c r="V10" i="8"/>
  <c r="Z11" i="8"/>
  <c r="AC11" i="8"/>
  <c r="V11" i="8"/>
  <c r="AE11" i="8"/>
  <c r="P11" i="8"/>
  <c r="I11" i="8"/>
  <c r="N11" i="8"/>
  <c r="X11" i="8"/>
  <c r="E16" i="8"/>
  <c r="M11" i="8"/>
  <c r="J11" i="8"/>
  <c r="AH38" i="21"/>
  <c r="V38" i="21"/>
  <c r="F38" i="21"/>
  <c r="BE38" i="21"/>
  <c r="F14" i="21"/>
  <c r="AU14" i="21" s="1"/>
  <c r="AH14" i="21"/>
  <c r="V14" i="21"/>
  <c r="AS37" i="21"/>
  <c r="BD37" i="21"/>
  <c r="AS39" i="21"/>
  <c r="BD39" i="21"/>
  <c r="V15" i="21"/>
  <c r="F15" i="21"/>
  <c r="BF15" i="21" s="1"/>
  <c r="AH15" i="21"/>
  <c r="AH17" i="21"/>
  <c r="V17" i="21"/>
  <c r="F17" i="21"/>
  <c r="AU17" i="21" s="1"/>
  <c r="AH19" i="21"/>
  <c r="F19" i="21"/>
  <c r="BF19" i="21" s="1"/>
  <c r="V19" i="21"/>
  <c r="K37" i="21"/>
  <c r="AI37" i="21"/>
  <c r="W37" i="21"/>
  <c r="G37" i="21"/>
  <c r="AT32" i="21"/>
  <c r="BD38" i="21"/>
  <c r="AS38" i="21"/>
  <c r="V43" i="21"/>
  <c r="AH43" i="21"/>
  <c r="F43" i="21"/>
  <c r="AU43" i="21" s="1"/>
  <c r="F34" i="21"/>
  <c r="BF34" i="21" s="1"/>
  <c r="AH34" i="21"/>
  <c r="V34" i="21"/>
  <c r="AH18" i="21"/>
  <c r="F18" i="21"/>
  <c r="BF18" i="21" s="1"/>
  <c r="V18" i="21"/>
  <c r="V12" i="21"/>
  <c r="F12" i="21"/>
  <c r="BF12" i="21" s="1"/>
  <c r="AH12" i="21"/>
  <c r="BF44" i="21"/>
  <c r="AT39" i="21"/>
  <c r="BE15" i="21"/>
  <c r="L31" i="21"/>
  <c r="L51" i="21" s="1"/>
  <c r="D52" i="21"/>
  <c r="P49" i="21" s="1"/>
  <c r="U31" i="21"/>
  <c r="BO35" i="21" s="1"/>
  <c r="D51" i="21"/>
  <c r="AG31" i="21"/>
  <c r="BP35" i="21" s="1"/>
  <c r="AH41" i="21"/>
  <c r="V41" i="21"/>
  <c r="F41" i="21"/>
  <c r="AU41" i="21" s="1"/>
  <c r="BE41" i="21"/>
  <c r="F33" i="21"/>
  <c r="BF33" i="21" s="1"/>
  <c r="AH33" i="21"/>
  <c r="V33" i="21"/>
  <c r="AT19" i="21"/>
  <c r="AT11" i="21"/>
  <c r="AH10" i="21"/>
  <c r="F10" i="21"/>
  <c r="BF10" i="21" s="1"/>
  <c r="V10" i="21"/>
  <c r="F9" i="21"/>
  <c r="BF9" i="21" s="1"/>
  <c r="AH9" i="21"/>
  <c r="V9" i="21"/>
  <c r="P25" i="21" l="1"/>
  <c r="O68" i="21" s="1"/>
  <c r="G17" i="8"/>
  <c r="H17" i="8" s="1"/>
  <c r="I17" i="8" s="1"/>
  <c r="J17" i="8" s="1"/>
  <c r="K17" i="8" s="1"/>
  <c r="L17" i="8" s="1"/>
  <c r="M17" i="8" s="1"/>
  <c r="N17" i="8" s="1"/>
  <c r="O17" i="8" s="1"/>
  <c r="P17" i="8" s="1"/>
  <c r="Q17" i="8" s="1"/>
  <c r="R17" i="8" s="1"/>
  <c r="S17" i="8" s="1"/>
  <c r="T17" i="8" s="1"/>
  <c r="U17" i="8" s="1"/>
  <c r="V17" i="8" s="1"/>
  <c r="W17" i="8" s="1"/>
  <c r="X17" i="8" s="1"/>
  <c r="Y17" i="8" s="1"/>
  <c r="Z17" i="8" s="1"/>
  <c r="AA17" i="8" s="1"/>
  <c r="AB17" i="8" s="1"/>
  <c r="AC17" i="8" s="1"/>
  <c r="AD17" i="8" s="1"/>
  <c r="AE17" i="8" s="1"/>
  <c r="AF17" i="8" s="1"/>
  <c r="AG17" i="8" s="1"/>
  <c r="AH17" i="8" s="1"/>
  <c r="AI17" i="8" s="1"/>
  <c r="AT5" i="21"/>
  <c r="BS6" i="21" s="1"/>
  <c r="AH5" i="21"/>
  <c r="V5" i="21"/>
  <c r="AU5" i="21"/>
  <c r="BE5" i="21"/>
  <c r="BT6" i="21" s="1"/>
  <c r="F23" i="21" a="1"/>
  <c r="F23" i="21" s="1"/>
  <c r="E4" i="21" a="1"/>
  <c r="E4" i="21" s="1"/>
  <c r="V4" i="21" s="1"/>
  <c r="E12" i="8"/>
  <c r="G45" i="21"/>
  <c r="H45" i="21" s="1"/>
  <c r="AI45" i="21"/>
  <c r="W45" i="21"/>
  <c r="K45" i="21"/>
  <c r="P21" i="21"/>
  <c r="BR35" i="21"/>
  <c r="BQ35" i="21"/>
  <c r="BF14" i="21"/>
  <c r="AU45" i="21"/>
  <c r="BS5" i="21"/>
  <c r="BO5" i="21"/>
  <c r="AU32" i="21"/>
  <c r="AU33" i="21"/>
  <c r="AU46" i="21"/>
  <c r="BF7" i="21"/>
  <c r="AU36" i="21"/>
  <c r="AU34" i="21"/>
  <c r="Y12" i="8"/>
  <c r="AA14" i="9" s="1"/>
  <c r="AU9" i="21"/>
  <c r="AU18" i="21"/>
  <c r="BF43" i="21"/>
  <c r="BF17" i="21"/>
  <c r="V12" i="8"/>
  <c r="X14" i="9" s="1"/>
  <c r="BS36" i="21"/>
  <c r="AU39" i="21"/>
  <c r="AU12" i="21"/>
  <c r="AU15" i="21"/>
  <c r="R12" i="8"/>
  <c r="T14" i="9" s="1"/>
  <c r="BT36" i="21"/>
  <c r="W12" i="8"/>
  <c r="Y14" i="9" s="1"/>
  <c r="I12" i="8"/>
  <c r="G12" i="8"/>
  <c r="X12" i="8"/>
  <c r="Z14" i="9" s="1"/>
  <c r="L12" i="8"/>
  <c r="N14" i="9" s="1"/>
  <c r="AF12" i="8"/>
  <c r="AH14" i="9" s="1"/>
  <c r="AI12" i="8"/>
  <c r="AK14" i="9" s="1"/>
  <c r="AA12" i="8"/>
  <c r="AC14" i="9" s="1"/>
  <c r="AC12" i="8"/>
  <c r="AE14" i="9" s="1"/>
  <c r="J12" i="8"/>
  <c r="L14" i="9" s="1"/>
  <c r="K41" i="21"/>
  <c r="W41" i="21"/>
  <c r="AI41" i="21"/>
  <c r="G41" i="21"/>
  <c r="K38" i="21"/>
  <c r="G38" i="21"/>
  <c r="AI38" i="21"/>
  <c r="W38" i="21"/>
  <c r="E18" i="8"/>
  <c r="BP5" i="21"/>
  <c r="BF42" i="21"/>
  <c r="AU35" i="21"/>
  <c r="K6" i="21"/>
  <c r="AI6" i="21"/>
  <c r="G6" i="21"/>
  <c r="W6" i="21"/>
  <c r="W47" i="21"/>
  <c r="AI47" i="21"/>
  <c r="G47" i="21"/>
  <c r="K47" i="21"/>
  <c r="H12" i="8"/>
  <c r="F16" i="8"/>
  <c r="K34" i="21"/>
  <c r="AI34" i="21"/>
  <c r="W34" i="21"/>
  <c r="G34" i="21"/>
  <c r="K19" i="21"/>
  <c r="AI19" i="21"/>
  <c r="G19" i="21"/>
  <c r="W19" i="21"/>
  <c r="BF5" i="21"/>
  <c r="P12" i="8"/>
  <c r="T12" i="8"/>
  <c r="V13" i="9" s="1"/>
  <c r="AH12" i="8"/>
  <c r="AJ14" i="9" s="1"/>
  <c r="N12" i="8"/>
  <c r="K32" i="21"/>
  <c r="G32" i="21"/>
  <c r="AI32" i="21"/>
  <c r="W32" i="21"/>
  <c r="BT5" i="21"/>
  <c r="H40" i="21"/>
  <c r="X40" i="21"/>
  <c r="AJ40" i="21"/>
  <c r="AU8" i="21"/>
  <c r="D53" i="21"/>
  <c r="K7" i="21"/>
  <c r="G7" i="21"/>
  <c r="W7" i="21"/>
  <c r="AI7" i="21"/>
  <c r="K49" i="21"/>
  <c r="AI49" i="21"/>
  <c r="G49" i="21"/>
  <c r="W49" i="21"/>
  <c r="W30" i="21"/>
  <c r="AI30" i="21"/>
  <c r="K13" i="21"/>
  <c r="W13" i="21"/>
  <c r="AI13" i="21"/>
  <c r="G13" i="21"/>
  <c r="K42" i="21"/>
  <c r="G42" i="21"/>
  <c r="AI42" i="21"/>
  <c r="W42" i="21"/>
  <c r="G33" i="21"/>
  <c r="W33" i="21"/>
  <c r="K33" i="21"/>
  <c r="AI33" i="21"/>
  <c r="G18" i="21"/>
  <c r="K18" i="21"/>
  <c r="AI18" i="21"/>
  <c r="W18" i="21"/>
  <c r="K43" i="21"/>
  <c r="G43" i="21"/>
  <c r="AI43" i="21"/>
  <c r="W43" i="21"/>
  <c r="AJ37" i="21"/>
  <c r="H37" i="21"/>
  <c r="X37" i="21"/>
  <c r="AU19" i="21"/>
  <c r="BF38" i="21"/>
  <c r="U12" i="8"/>
  <c r="W14" i="9" s="1"/>
  <c r="K12" i="8"/>
  <c r="Q12" i="8"/>
  <c r="M12" i="8"/>
  <c r="H48" i="21"/>
  <c r="X48" i="21"/>
  <c r="AJ48" i="21"/>
  <c r="AU11" i="21"/>
  <c r="K46" i="21"/>
  <c r="G46" i="21"/>
  <c r="AI46" i="21"/>
  <c r="W46" i="21"/>
  <c r="AI3" i="21"/>
  <c r="W3" i="21"/>
  <c r="AG12" i="8"/>
  <c r="AI14" i="9" s="1"/>
  <c r="K10" i="21"/>
  <c r="W10" i="21"/>
  <c r="G10" i="21"/>
  <c r="AI10" i="21"/>
  <c r="AU10" i="21"/>
  <c r="BD31" i="21"/>
  <c r="BT35" i="21" s="1"/>
  <c r="AS31" i="21"/>
  <c r="BS35" i="21" s="1"/>
  <c r="G17" i="21"/>
  <c r="K17" i="21"/>
  <c r="W17" i="21"/>
  <c r="AI17" i="21"/>
  <c r="K15" i="21"/>
  <c r="G15" i="21"/>
  <c r="AI15" i="21"/>
  <c r="W15" i="21"/>
  <c r="AU38" i="21"/>
  <c r="Z12" i="8"/>
  <c r="AB14" i="9" s="1"/>
  <c r="S12" i="8"/>
  <c r="O12" i="8"/>
  <c r="AU13" i="21"/>
  <c r="F50" i="21" a="1"/>
  <c r="F50" i="21" s="1"/>
  <c r="K39" i="21"/>
  <c r="AI39" i="21"/>
  <c r="G39" i="21"/>
  <c r="W39" i="21"/>
  <c r="K8" i="21"/>
  <c r="G8" i="21"/>
  <c r="W8" i="21"/>
  <c r="AI8" i="21"/>
  <c r="J30" i="21"/>
  <c r="I30" i="21"/>
  <c r="G30" i="21"/>
  <c r="H30" i="21"/>
  <c r="AH31" i="21"/>
  <c r="BP36" i="21" s="1"/>
  <c r="D69" i="22"/>
  <c r="D70" i="22" s="1"/>
  <c r="V31" i="21"/>
  <c r="BO36" i="21" s="1"/>
  <c r="E52" i="21"/>
  <c r="E53" i="21" s="1"/>
  <c r="F31" i="21"/>
  <c r="AJ44" i="21"/>
  <c r="X44" i="21"/>
  <c r="H44" i="21"/>
  <c r="K36" i="21"/>
  <c r="AI36" i="21"/>
  <c r="G36" i="21"/>
  <c r="W36" i="21"/>
  <c r="W11" i="21"/>
  <c r="AI11" i="21"/>
  <c r="K11" i="21"/>
  <c r="G11" i="21"/>
  <c r="BF16" i="21"/>
  <c r="G9" i="21"/>
  <c r="W9" i="21"/>
  <c r="K9" i="21"/>
  <c r="AI9" i="21"/>
  <c r="BF41" i="21"/>
  <c r="K12" i="21"/>
  <c r="AI12" i="21"/>
  <c r="G12" i="21"/>
  <c r="W12" i="21"/>
  <c r="AI14" i="21"/>
  <c r="K14" i="21"/>
  <c r="G14" i="21"/>
  <c r="W14" i="21"/>
  <c r="F12" i="8"/>
  <c r="AE12" i="8"/>
  <c r="AG14" i="9" s="1"/>
  <c r="AB12" i="8"/>
  <c r="AD14" i="9" s="1"/>
  <c r="AD12" i="8"/>
  <c r="AF14" i="9" s="1"/>
  <c r="BF13" i="21"/>
  <c r="AU6" i="21"/>
  <c r="K21" i="21"/>
  <c r="W21" i="21"/>
  <c r="G21" i="21"/>
  <c r="AI21" i="21"/>
  <c r="W5" i="21"/>
  <c r="K5" i="21"/>
  <c r="G5" i="21"/>
  <c r="AI5" i="21"/>
  <c r="K20" i="21"/>
  <c r="AI20" i="21"/>
  <c r="W20" i="21"/>
  <c r="G20" i="21"/>
  <c r="G35" i="21"/>
  <c r="K35" i="21"/>
  <c r="W35" i="21"/>
  <c r="AI35" i="21"/>
  <c r="K16" i="21"/>
  <c r="AI16" i="21"/>
  <c r="W16" i="21"/>
  <c r="G16" i="21"/>
  <c r="K22" i="21"/>
  <c r="W22" i="21"/>
  <c r="G22" i="21"/>
  <c r="AI22" i="21"/>
  <c r="P68" i="21" l="1"/>
  <c r="C191" i="22"/>
  <c r="I3" i="21"/>
  <c r="AL3" i="21" s="1"/>
  <c r="E24" i="21"/>
  <c r="BO6" i="21"/>
  <c r="G3" i="21"/>
  <c r="AV3" i="21" s="1"/>
  <c r="BS8" i="21" s="1"/>
  <c r="BU36" i="21"/>
  <c r="C164" i="22" s="1"/>
  <c r="X45" i="21"/>
  <c r="BU6" i="21"/>
  <c r="C150" i="22" s="1"/>
  <c r="AJ45" i="21"/>
  <c r="J3" i="21"/>
  <c r="AM3" i="21" s="1"/>
  <c r="E25" i="21"/>
  <c r="P20" i="21" s="1"/>
  <c r="AH4" i="21"/>
  <c r="BP6" i="21" s="1"/>
  <c r="C69" i="22"/>
  <c r="C70" i="22" s="1"/>
  <c r="F4" i="21"/>
  <c r="AI4" i="21" s="1"/>
  <c r="H3" i="21"/>
  <c r="Y3" i="21" s="1"/>
  <c r="BU35" i="21"/>
  <c r="C163" i="22" s="1"/>
  <c r="BU5" i="21"/>
  <c r="C149" i="22" s="1"/>
  <c r="T13" i="9"/>
  <c r="BV35" i="21"/>
  <c r="D163" i="22" s="1"/>
  <c r="BR5" i="21"/>
  <c r="BR36" i="21"/>
  <c r="BQ36" i="21"/>
  <c r="BQ5" i="21"/>
  <c r="BW5" i="21"/>
  <c r="E149" i="22" s="1"/>
  <c r="BT37" i="21"/>
  <c r="BS37" i="21"/>
  <c r="N13" i="9"/>
  <c r="BS7" i="21"/>
  <c r="L13" i="9"/>
  <c r="BW36" i="21"/>
  <c r="E164" i="22" s="1"/>
  <c r="H35" i="21"/>
  <c r="X35" i="21"/>
  <c r="AJ35" i="21"/>
  <c r="H15" i="21"/>
  <c r="X15" i="21"/>
  <c r="AJ15" i="21"/>
  <c r="H22" i="21"/>
  <c r="X22" i="21"/>
  <c r="AJ22" i="21"/>
  <c r="X21" i="21"/>
  <c r="AJ21" i="21"/>
  <c r="H21" i="21"/>
  <c r="P48" i="21"/>
  <c r="Y30" i="21"/>
  <c r="AK30" i="21"/>
  <c r="X33" i="21"/>
  <c r="H33" i="21"/>
  <c r="AJ33" i="21"/>
  <c r="X49" i="21"/>
  <c r="AJ49" i="21"/>
  <c r="H49" i="21"/>
  <c r="BG30" i="21"/>
  <c r="BT38" i="21" s="1"/>
  <c r="AV30" i="21"/>
  <c r="BS38" i="21" s="1"/>
  <c r="AJ39" i="21"/>
  <c r="H39" i="21"/>
  <c r="X39" i="21"/>
  <c r="I45" i="21"/>
  <c r="Y45" i="21"/>
  <c r="AK45" i="21"/>
  <c r="P13" i="9"/>
  <c r="P14" i="9"/>
  <c r="G23" i="21"/>
  <c r="K23" i="21"/>
  <c r="AI23" i="21"/>
  <c r="W23" i="21"/>
  <c r="H41" i="21"/>
  <c r="AJ41" i="21"/>
  <c r="X41" i="21"/>
  <c r="H5" i="21"/>
  <c r="AJ5" i="21"/>
  <c r="X5" i="21"/>
  <c r="X13" i="21"/>
  <c r="H13" i="21"/>
  <c r="AJ13" i="21"/>
  <c r="H34" i="21"/>
  <c r="AJ34" i="21"/>
  <c r="X34" i="21"/>
  <c r="X9" i="21"/>
  <c r="H9" i="21"/>
  <c r="AJ9" i="21"/>
  <c r="H36" i="21"/>
  <c r="AJ36" i="21"/>
  <c r="X36" i="21"/>
  <c r="F52" i="21"/>
  <c r="F53" i="21" s="1"/>
  <c r="W31" i="21"/>
  <c r="G31" i="21"/>
  <c r="AI31" i="21"/>
  <c r="F51" i="21"/>
  <c r="K31" i="21"/>
  <c r="AM30" i="21"/>
  <c r="AA30" i="21"/>
  <c r="Y48" i="21"/>
  <c r="I48" i="21"/>
  <c r="AK48" i="21"/>
  <c r="I37" i="21"/>
  <c r="Y37" i="21"/>
  <c r="AK37" i="21"/>
  <c r="AK40" i="21"/>
  <c r="I40" i="21"/>
  <c r="Y40" i="21"/>
  <c r="V14" i="9"/>
  <c r="H6" i="21"/>
  <c r="X6" i="21"/>
  <c r="AJ6" i="21"/>
  <c r="G14" i="9"/>
  <c r="G20" i="9" s="1"/>
  <c r="G21" i="9" s="1"/>
  <c r="G13" i="9"/>
  <c r="G18" i="9" s="1"/>
  <c r="G19" i="9" s="1"/>
  <c r="X12" i="21"/>
  <c r="AJ12" i="21"/>
  <c r="H12" i="21"/>
  <c r="Q14" i="9"/>
  <c r="Q13" i="9"/>
  <c r="H10" i="21"/>
  <c r="AJ10" i="21"/>
  <c r="X10" i="21"/>
  <c r="O13" i="9"/>
  <c r="O14" i="9"/>
  <c r="X18" i="21"/>
  <c r="H18" i="21"/>
  <c r="AJ18" i="21"/>
  <c r="H42" i="21"/>
  <c r="AJ42" i="21"/>
  <c r="X42" i="21"/>
  <c r="R14" i="9"/>
  <c r="R13" i="9"/>
  <c r="AJ16" i="21"/>
  <c r="H16" i="21"/>
  <c r="X16" i="21"/>
  <c r="H20" i="21"/>
  <c r="X20" i="21"/>
  <c r="AJ20" i="21"/>
  <c r="BW35" i="21"/>
  <c r="E163" i="22" s="1"/>
  <c r="AJ11" i="21"/>
  <c r="H11" i="21"/>
  <c r="X11" i="21"/>
  <c r="U13" i="9"/>
  <c r="U14" i="9"/>
  <c r="S14" i="9"/>
  <c r="S13" i="9"/>
  <c r="K30" i="21"/>
  <c r="X7" i="21"/>
  <c r="AJ7" i="21"/>
  <c r="H7" i="21"/>
  <c r="BT7" i="21"/>
  <c r="X8" i="21"/>
  <c r="H8" i="21"/>
  <c r="AJ8" i="21"/>
  <c r="AJ46" i="21"/>
  <c r="H46" i="21"/>
  <c r="X46" i="21"/>
  <c r="M14" i="9"/>
  <c r="M13" i="9"/>
  <c r="AJ38" i="21"/>
  <c r="H38" i="21"/>
  <c r="X38" i="21"/>
  <c r="AL30" i="21"/>
  <c r="Z30" i="21"/>
  <c r="X14" i="21"/>
  <c r="H14" i="21"/>
  <c r="AJ14" i="21"/>
  <c r="I44" i="21"/>
  <c r="AK44" i="21"/>
  <c r="Y44" i="21"/>
  <c r="K50" i="21"/>
  <c r="G50" i="21"/>
  <c r="W50" i="21"/>
  <c r="AI50" i="21"/>
  <c r="H17" i="21"/>
  <c r="X17" i="21"/>
  <c r="AJ17" i="21"/>
  <c r="X43" i="21"/>
  <c r="H43" i="21"/>
  <c r="AJ43" i="21"/>
  <c r="X32" i="21"/>
  <c r="H32" i="21"/>
  <c r="AJ32" i="21"/>
  <c r="H19" i="21"/>
  <c r="X19" i="21"/>
  <c r="AJ19" i="21"/>
  <c r="F18" i="8"/>
  <c r="G16" i="8"/>
  <c r="H47" i="21"/>
  <c r="X47" i="21"/>
  <c r="AJ47" i="21"/>
  <c r="BG3" i="21" l="1"/>
  <c r="BT8" i="21" s="1"/>
  <c r="BT12" i="21" s="1"/>
  <c r="Z3" i="21"/>
  <c r="BR6" i="21"/>
  <c r="AK3" i="21"/>
  <c r="AA3" i="21"/>
  <c r="K3" i="21"/>
  <c r="AB3" i="21" s="1"/>
  <c r="BQ6" i="21"/>
  <c r="BW6" i="21"/>
  <c r="E150" i="22" s="1"/>
  <c r="W4" i="21"/>
  <c r="BO7" i="21" s="1"/>
  <c r="F24" i="21"/>
  <c r="F25" i="21"/>
  <c r="P19" i="21" s="1"/>
  <c r="G4" i="21"/>
  <c r="G25" i="21" s="1"/>
  <c r="K4" i="21"/>
  <c r="K24" i="21" s="1"/>
  <c r="BU38" i="21"/>
  <c r="C166" i="22" s="1"/>
  <c r="BU7" i="21"/>
  <c r="C151" i="22" s="1"/>
  <c r="BU37" i="21"/>
  <c r="C165" i="22" s="1"/>
  <c r="BV36" i="21"/>
  <c r="D164" i="22" s="1"/>
  <c r="G18" i="8"/>
  <c r="I13" i="9" s="1"/>
  <c r="I18" i="9" s="1"/>
  <c r="I19" i="9" s="1"/>
  <c r="H16" i="8"/>
  <c r="BV5" i="21"/>
  <c r="D149" i="22" s="1"/>
  <c r="BT42" i="21"/>
  <c r="BS42" i="21"/>
  <c r="BO37" i="21"/>
  <c r="BS12" i="21"/>
  <c r="BP37" i="21"/>
  <c r="P47" i="21"/>
  <c r="BP7" i="21"/>
  <c r="J37" i="21"/>
  <c r="Z37" i="21"/>
  <c r="AL37" i="21"/>
  <c r="J44" i="21"/>
  <c r="Z44" i="21"/>
  <c r="AL44" i="21"/>
  <c r="I7" i="21"/>
  <c r="Y7" i="21"/>
  <c r="AK7" i="21"/>
  <c r="I11" i="21"/>
  <c r="Y11" i="21"/>
  <c r="AK11" i="21"/>
  <c r="I6" i="21"/>
  <c r="Y6" i="21"/>
  <c r="AK6" i="21"/>
  <c r="K52" i="21"/>
  <c r="P41" i="21" s="1"/>
  <c r="K51" i="21"/>
  <c r="I36" i="21"/>
  <c r="AK36" i="21"/>
  <c r="Y36" i="21"/>
  <c r="J45" i="21"/>
  <c r="Z45" i="21"/>
  <c r="AL45" i="21"/>
  <c r="I32" i="21"/>
  <c r="AK32" i="21"/>
  <c r="Y32" i="21"/>
  <c r="Y20" i="21"/>
  <c r="I20" i="21"/>
  <c r="AK20" i="21"/>
  <c r="I47" i="21"/>
  <c r="Y47" i="21"/>
  <c r="AK47" i="21"/>
  <c r="I17" i="21"/>
  <c r="AK17" i="21"/>
  <c r="Y17" i="21"/>
  <c r="H14" i="9"/>
  <c r="H20" i="9" s="1"/>
  <c r="H21" i="9" s="1"/>
  <c r="H13" i="9"/>
  <c r="H18" i="9" s="1"/>
  <c r="H19" i="9" s="1"/>
  <c r="I43" i="21"/>
  <c r="Y43" i="21"/>
  <c r="AK43" i="21"/>
  <c r="I8" i="21"/>
  <c r="Y8" i="21"/>
  <c r="AK8" i="21"/>
  <c r="AK42" i="21"/>
  <c r="I42" i="21"/>
  <c r="Y42" i="21"/>
  <c r="I10" i="21"/>
  <c r="Y10" i="21"/>
  <c r="AK10" i="21"/>
  <c r="I34" i="21"/>
  <c r="AK34" i="21"/>
  <c r="Y34" i="21"/>
  <c r="AK5" i="21"/>
  <c r="Y5" i="21"/>
  <c r="I5" i="21"/>
  <c r="X23" i="21"/>
  <c r="BO8" i="21" s="1"/>
  <c r="AJ23" i="21"/>
  <c r="BP8" i="21" s="1"/>
  <c r="H23" i="21"/>
  <c r="I49" i="21"/>
  <c r="Y49" i="21"/>
  <c r="AK49" i="21"/>
  <c r="AK21" i="21"/>
  <c r="Y21" i="21"/>
  <c r="I21" i="21"/>
  <c r="AK15" i="21"/>
  <c r="Y15" i="21"/>
  <c r="I15" i="21"/>
  <c r="I46" i="21"/>
  <c r="AK46" i="21"/>
  <c r="Y46" i="21"/>
  <c r="AK39" i="21"/>
  <c r="Y39" i="21"/>
  <c r="I39" i="21"/>
  <c r="I19" i="21"/>
  <c r="AK19" i="21"/>
  <c r="Y19" i="21"/>
  <c r="AK14" i="21"/>
  <c r="Y14" i="21"/>
  <c r="I14" i="21"/>
  <c r="AB30" i="21"/>
  <c r="AN30" i="21"/>
  <c r="G52" i="21"/>
  <c r="G53" i="21" s="1"/>
  <c r="H31" i="21"/>
  <c r="G51" i="21"/>
  <c r="I13" i="21"/>
  <c r="Y13" i="21"/>
  <c r="AK13" i="21"/>
  <c r="AL40" i="21"/>
  <c r="J40" i="21"/>
  <c r="Z40" i="21"/>
  <c r="Y9" i="21"/>
  <c r="I9" i="21"/>
  <c r="AK9" i="21"/>
  <c r="AK41" i="21"/>
  <c r="Y41" i="21"/>
  <c r="I41" i="21"/>
  <c r="AK35" i="21"/>
  <c r="I35" i="21"/>
  <c r="Y35" i="21"/>
  <c r="I38" i="21"/>
  <c r="Y38" i="21"/>
  <c r="AK38" i="21"/>
  <c r="J48" i="21"/>
  <c r="Z48" i="21"/>
  <c r="AL48" i="21"/>
  <c r="Y33" i="21"/>
  <c r="I33" i="21"/>
  <c r="AK33" i="21"/>
  <c r="AJ50" i="21"/>
  <c r="BP38" i="21" s="1"/>
  <c r="H50" i="21"/>
  <c r="X50" i="21"/>
  <c r="BO38" i="21" s="1"/>
  <c r="I16" i="21"/>
  <c r="AK16" i="21"/>
  <c r="Y16" i="21"/>
  <c r="I18" i="21"/>
  <c r="AK18" i="21"/>
  <c r="Y18" i="21"/>
  <c r="I12" i="21"/>
  <c r="AK12" i="21"/>
  <c r="Y12" i="21"/>
  <c r="AK22" i="21"/>
  <c r="Y22" i="21"/>
  <c r="I22" i="21"/>
  <c r="BU8" i="21" l="1"/>
  <c r="C152" i="22" s="1"/>
  <c r="AN3" i="21"/>
  <c r="K25" i="21"/>
  <c r="P13" i="21" s="1"/>
  <c r="BV6" i="21"/>
  <c r="D150" i="22" s="1"/>
  <c r="P18" i="21"/>
  <c r="G24" i="21"/>
  <c r="H4" i="21"/>
  <c r="H25" i="21" s="1"/>
  <c r="P17" i="21" s="1"/>
  <c r="BU42" i="21"/>
  <c r="C171" i="22" s="1"/>
  <c r="I14" i="9"/>
  <c r="I20" i="9" s="1"/>
  <c r="I21" i="9" s="1"/>
  <c r="BU12" i="21"/>
  <c r="C157" i="22" s="1"/>
  <c r="I16" i="8"/>
  <c r="H18" i="8"/>
  <c r="BR37" i="21"/>
  <c r="BR7" i="21"/>
  <c r="BQ8" i="21"/>
  <c r="BR38" i="21"/>
  <c r="BQ38" i="21"/>
  <c r="BQ37" i="21"/>
  <c r="BR8" i="21"/>
  <c r="BQ7" i="21"/>
  <c r="BW37" i="21"/>
  <c r="E165" i="22" s="1"/>
  <c r="BW7" i="21"/>
  <c r="E151" i="22" s="1"/>
  <c r="P46" i="21"/>
  <c r="BW38" i="21"/>
  <c r="E166" i="22" s="1"/>
  <c r="BW8" i="21"/>
  <c r="E152" i="22" s="1"/>
  <c r="AL16" i="21"/>
  <c r="J16" i="21"/>
  <c r="Z16" i="21"/>
  <c r="Z22" i="21"/>
  <c r="J22" i="21"/>
  <c r="AL22" i="21"/>
  <c r="AL19" i="21"/>
  <c r="Z19" i="21"/>
  <c r="J19" i="21"/>
  <c r="AL18" i="21"/>
  <c r="Z18" i="21"/>
  <c r="J18" i="21"/>
  <c r="Y50" i="21"/>
  <c r="BO39" i="21" s="1"/>
  <c r="I50" i="21"/>
  <c r="AK50" i="21"/>
  <c r="BP39" i="21" s="1"/>
  <c r="Z41" i="21"/>
  <c r="J41" i="21"/>
  <c r="AL41" i="21"/>
  <c r="H51" i="21"/>
  <c r="I31" i="21"/>
  <c r="H52" i="21"/>
  <c r="H53" i="21" s="1"/>
  <c r="J39" i="21"/>
  <c r="Z39" i="21"/>
  <c r="AL39" i="21"/>
  <c r="Z15" i="21"/>
  <c r="AL15" i="21"/>
  <c r="J15" i="21"/>
  <c r="J42" i="21"/>
  <c r="AL42" i="21"/>
  <c r="Z42" i="21"/>
  <c r="AL43" i="21"/>
  <c r="J43" i="21"/>
  <c r="Z43" i="21"/>
  <c r="AA37" i="21"/>
  <c r="AM37" i="21"/>
  <c r="AN37" i="21"/>
  <c r="AB37" i="21"/>
  <c r="AK23" i="21"/>
  <c r="BP9" i="21" s="1"/>
  <c r="I23" i="21"/>
  <c r="Y23" i="21"/>
  <c r="BO9" i="21" s="1"/>
  <c r="J32" i="21"/>
  <c r="AL32" i="21"/>
  <c r="Z32" i="21"/>
  <c r="AA40" i="21"/>
  <c r="AM40" i="21"/>
  <c r="AB40" i="21"/>
  <c r="AN40" i="21"/>
  <c r="J17" i="21"/>
  <c r="Z17" i="21"/>
  <c r="AL17" i="21"/>
  <c r="J36" i="21"/>
  <c r="Z36" i="21"/>
  <c r="AL36" i="21"/>
  <c r="J38" i="21"/>
  <c r="Z38" i="21"/>
  <c r="AL38" i="21"/>
  <c r="Z49" i="21"/>
  <c r="AL49" i="21"/>
  <c r="J49" i="21"/>
  <c r="AM45" i="21"/>
  <c r="AA45" i="21"/>
  <c r="AB45" i="21"/>
  <c r="AN45" i="21"/>
  <c r="AA44" i="21"/>
  <c r="AM44" i="21"/>
  <c r="AN44" i="21"/>
  <c r="AB44" i="21"/>
  <c r="L53" i="21"/>
  <c r="J21" i="21"/>
  <c r="Z21" i="21"/>
  <c r="AL21" i="21"/>
  <c r="J47" i="21"/>
  <c r="AL47" i="21"/>
  <c r="Z47" i="21"/>
  <c r="J33" i="21"/>
  <c r="Z33" i="21"/>
  <c r="AL33" i="21"/>
  <c r="AL9" i="21"/>
  <c r="J9" i="21"/>
  <c r="Z9" i="21"/>
  <c r="AL8" i="21"/>
  <c r="J8" i="21"/>
  <c r="Z8" i="21"/>
  <c r="Z12" i="21"/>
  <c r="AL12" i="21"/>
  <c r="J12" i="21"/>
  <c r="J35" i="21"/>
  <c r="AL35" i="21"/>
  <c r="Z35" i="21"/>
  <c r="J5" i="21"/>
  <c r="AL5" i="21"/>
  <c r="Z5" i="21"/>
  <c r="J20" i="21"/>
  <c r="Z20" i="21"/>
  <c r="AL20" i="21"/>
  <c r="Z7" i="21"/>
  <c r="AL7" i="21"/>
  <c r="J7" i="21"/>
  <c r="J11" i="21"/>
  <c r="Z11" i="21"/>
  <c r="AL11" i="21"/>
  <c r="AM48" i="21"/>
  <c r="AA48" i="21"/>
  <c r="AB48" i="21"/>
  <c r="AN48" i="21"/>
  <c r="J13" i="21"/>
  <c r="AL13" i="21"/>
  <c r="Z13" i="21"/>
  <c r="J46" i="21"/>
  <c r="AL46" i="21"/>
  <c r="Z46" i="21"/>
  <c r="Z10" i="21"/>
  <c r="AL10" i="21"/>
  <c r="J10" i="21"/>
  <c r="J6" i="21"/>
  <c r="AL6" i="21"/>
  <c r="Z6" i="21"/>
  <c r="J14" i="21"/>
  <c r="AL14" i="21"/>
  <c r="Z14" i="21"/>
  <c r="J34" i="21"/>
  <c r="Z34" i="21"/>
  <c r="AL34" i="21"/>
  <c r="I4" i="21" l="1"/>
  <c r="I25" i="21" s="1"/>
  <c r="H24" i="21"/>
  <c r="BV7" i="21"/>
  <c r="D151" i="22" s="1"/>
  <c r="I18" i="8"/>
  <c r="J16" i="8"/>
  <c r="J13" i="9"/>
  <c r="J18" i="9" s="1"/>
  <c r="J19" i="9" s="1"/>
  <c r="J14" i="9"/>
  <c r="J20" i="9" s="1"/>
  <c r="J21" i="9" s="1"/>
  <c r="BV8" i="21"/>
  <c r="D152" i="22" s="1"/>
  <c r="BV37" i="21"/>
  <c r="D165" i="22" s="1"/>
  <c r="BQ9" i="21"/>
  <c r="BV38" i="21"/>
  <c r="D166" i="22" s="1"/>
  <c r="BQ39" i="21"/>
  <c r="BR39" i="21"/>
  <c r="BR9" i="21"/>
  <c r="P45" i="21"/>
  <c r="BW9" i="21"/>
  <c r="E153" i="22" s="1"/>
  <c r="BW39" i="21"/>
  <c r="E167" i="22" s="1"/>
  <c r="AM6" i="21"/>
  <c r="AA6" i="21"/>
  <c r="AN6" i="21"/>
  <c r="AB6" i="21"/>
  <c r="AM11" i="21"/>
  <c r="AA11" i="21"/>
  <c r="AN11" i="21"/>
  <c r="AB11" i="21"/>
  <c r="AM35" i="21"/>
  <c r="AA35" i="21"/>
  <c r="AN35" i="21"/>
  <c r="AB35" i="21"/>
  <c r="AM49" i="21"/>
  <c r="AA49" i="21"/>
  <c r="AN49" i="21"/>
  <c r="AB49" i="21"/>
  <c r="AA36" i="21"/>
  <c r="AM36" i="21"/>
  <c r="AB36" i="21"/>
  <c r="AN36" i="21"/>
  <c r="AM39" i="21"/>
  <c r="AA39" i="21"/>
  <c r="AB39" i="21"/>
  <c r="AN39" i="21"/>
  <c r="J50" i="21"/>
  <c r="AL50" i="21"/>
  <c r="BP40" i="21" s="1"/>
  <c r="Z50" i="21"/>
  <c r="BO40" i="21" s="1"/>
  <c r="AM9" i="21"/>
  <c r="AA9" i="21"/>
  <c r="AN9" i="21"/>
  <c r="AB9" i="21"/>
  <c r="AA10" i="21"/>
  <c r="AM10" i="21"/>
  <c r="AB10" i="21"/>
  <c r="AN10" i="21"/>
  <c r="AM13" i="21"/>
  <c r="AA13" i="21"/>
  <c r="AN13" i="21"/>
  <c r="AB13" i="21"/>
  <c r="AA7" i="21"/>
  <c r="AM7" i="21"/>
  <c r="AB7" i="21"/>
  <c r="AN7" i="21"/>
  <c r="AM5" i="21"/>
  <c r="AA5" i="21"/>
  <c r="AB5" i="21"/>
  <c r="AN5" i="21"/>
  <c r="AM12" i="21"/>
  <c r="AA12" i="21"/>
  <c r="AN12" i="21"/>
  <c r="AB12" i="21"/>
  <c r="AM47" i="21"/>
  <c r="AA47" i="21"/>
  <c r="AN47" i="21"/>
  <c r="AB47" i="21"/>
  <c r="AM22" i="21"/>
  <c r="AA22" i="21"/>
  <c r="AB22" i="21"/>
  <c r="AN22" i="21"/>
  <c r="I52" i="21"/>
  <c r="P44" i="21" s="1"/>
  <c r="J31" i="21"/>
  <c r="I51" i="21"/>
  <c r="AM18" i="21"/>
  <c r="AA18" i="21"/>
  <c r="AB18" i="21"/>
  <c r="AN18" i="21"/>
  <c r="AM21" i="21"/>
  <c r="AA21" i="21"/>
  <c r="AB21" i="21"/>
  <c r="AN21" i="21"/>
  <c r="Z23" i="21"/>
  <c r="BO10" i="21" s="1"/>
  <c r="J23" i="21"/>
  <c r="AL23" i="21"/>
  <c r="BP10" i="21" s="1"/>
  <c r="AA16" i="21"/>
  <c r="AM16" i="21"/>
  <c r="AN16" i="21"/>
  <c r="AB16" i="21"/>
  <c r="AA34" i="21"/>
  <c r="AM34" i="21"/>
  <c r="AB34" i="21"/>
  <c r="AN34" i="21"/>
  <c r="AA32" i="21"/>
  <c r="AM32" i="21"/>
  <c r="AB32" i="21"/>
  <c r="AN32" i="21"/>
  <c r="AM8" i="21"/>
  <c r="AA8" i="21"/>
  <c r="AB8" i="21"/>
  <c r="AN8" i="21"/>
  <c r="AA41" i="21"/>
  <c r="AM41" i="21"/>
  <c r="AB41" i="21"/>
  <c r="AN41" i="21"/>
  <c r="AA19" i="21"/>
  <c r="AM19" i="21"/>
  <c r="AN19" i="21"/>
  <c r="AB19" i="21"/>
  <c r="AM42" i="21"/>
  <c r="AA42" i="21"/>
  <c r="AB42" i="21"/>
  <c r="AN42" i="21"/>
  <c r="AM38" i="21"/>
  <c r="AA38" i="21"/>
  <c r="AN38" i="21"/>
  <c r="AB38" i="21"/>
  <c r="AM17" i="21"/>
  <c r="AA17" i="21"/>
  <c r="AN17" i="21"/>
  <c r="AB17" i="21"/>
  <c r="AM15" i="21"/>
  <c r="AA15" i="21"/>
  <c r="AB15" i="21"/>
  <c r="AN15" i="21"/>
  <c r="AM14" i="21"/>
  <c r="AA14" i="21"/>
  <c r="AN14" i="21"/>
  <c r="AB14" i="21"/>
  <c r="AA46" i="21"/>
  <c r="AM46" i="21"/>
  <c r="AB46" i="21"/>
  <c r="AN46" i="21"/>
  <c r="AM20" i="21"/>
  <c r="AA20" i="21"/>
  <c r="AB20" i="21"/>
  <c r="AN20" i="21"/>
  <c r="AA33" i="21"/>
  <c r="AM33" i="21"/>
  <c r="AN33" i="21"/>
  <c r="AB33" i="21"/>
  <c r="AM43" i="21"/>
  <c r="AA43" i="21"/>
  <c r="AN43" i="21"/>
  <c r="AB43" i="21"/>
  <c r="J4" i="21" l="1"/>
  <c r="AB4" i="21" s="1"/>
  <c r="I24" i="21"/>
  <c r="J18" i="8"/>
  <c r="K16" i="8"/>
  <c r="K13" i="9"/>
  <c r="K18" i="9" s="1"/>
  <c r="K19" i="9" s="1"/>
  <c r="K14" i="9"/>
  <c r="K20" i="9" s="1"/>
  <c r="K21" i="9" s="1"/>
  <c r="P16" i="21"/>
  <c r="BV9" i="21"/>
  <c r="D153" i="22" s="1"/>
  <c r="BQ10" i="21"/>
  <c r="BV39" i="21"/>
  <c r="D167" i="22" s="1"/>
  <c r="BQ40" i="21"/>
  <c r="BR40" i="21"/>
  <c r="BR10" i="21"/>
  <c r="BW40" i="21"/>
  <c r="E168" i="22" s="1"/>
  <c r="BW10" i="21"/>
  <c r="E154" i="22" s="1"/>
  <c r="I53" i="21"/>
  <c r="J51" i="21"/>
  <c r="J52" i="21"/>
  <c r="K53" i="21" s="1"/>
  <c r="AN31" i="21"/>
  <c r="AB31" i="21"/>
  <c r="AA50" i="21"/>
  <c r="BO41" i="21" s="1"/>
  <c r="AM50" i="21"/>
  <c r="BP41" i="21" s="1"/>
  <c r="AB50" i="21"/>
  <c r="AN50" i="21"/>
  <c r="J25" i="21"/>
  <c r="J24" i="21"/>
  <c r="AA23" i="21"/>
  <c r="BO11" i="21" s="1"/>
  <c r="AM23" i="21"/>
  <c r="BP11" i="21" s="1"/>
  <c r="AB23" i="21"/>
  <c r="AN23" i="21"/>
  <c r="AN4" i="21" l="1"/>
  <c r="K18" i="8"/>
  <c r="L16" i="8"/>
  <c r="L18" i="9"/>
  <c r="L19" i="9" s="1"/>
  <c r="L20" i="9"/>
  <c r="L21" i="9" s="1"/>
  <c r="P15" i="21"/>
  <c r="O14" i="21" s="1"/>
  <c r="BV40" i="21"/>
  <c r="D168" i="22" s="1"/>
  <c r="BV10" i="21"/>
  <c r="D154" i="22" s="1"/>
  <c r="BQ11" i="21"/>
  <c r="BQ41" i="21"/>
  <c r="BR41" i="21"/>
  <c r="BR11" i="21"/>
  <c r="BP12" i="21"/>
  <c r="BP42" i="21"/>
  <c r="BO12" i="21"/>
  <c r="BO42" i="21"/>
  <c r="BW11" i="21"/>
  <c r="E155" i="22" s="1"/>
  <c r="BW41" i="21"/>
  <c r="E169" i="22" s="1"/>
  <c r="J53" i="21"/>
  <c r="P43" i="21"/>
  <c r="O16" i="21" l="1"/>
  <c r="O61" i="21" s="1"/>
  <c r="C188" i="22" s="1"/>
  <c r="O20" i="21"/>
  <c r="O65" i="21" s="1"/>
  <c r="C184" i="22" s="1"/>
  <c r="O17" i="21"/>
  <c r="O62" i="21" s="1"/>
  <c r="C187" i="22" s="1"/>
  <c r="O21" i="21"/>
  <c r="O66" i="21" s="1"/>
  <c r="C183" i="22" s="1"/>
  <c r="O18" i="21"/>
  <c r="O63" i="21" s="1"/>
  <c r="C186" i="22" s="1"/>
  <c r="L18" i="8"/>
  <c r="M16" i="8"/>
  <c r="M20" i="9"/>
  <c r="M21" i="9" s="1"/>
  <c r="M18" i="9"/>
  <c r="M19" i="9" s="1"/>
  <c r="O13" i="21"/>
  <c r="O58" i="21" s="1"/>
  <c r="C192" i="22" s="1"/>
  <c r="O19" i="21"/>
  <c r="O64" i="21" s="1"/>
  <c r="C185" i="22" s="1"/>
  <c r="O15" i="21"/>
  <c r="O60" i="21" s="1"/>
  <c r="C189" i="22" s="1"/>
  <c r="BV11" i="21"/>
  <c r="D155" i="22" s="1"/>
  <c r="BQ12" i="21"/>
  <c r="BV41" i="21"/>
  <c r="D169" i="22" s="1"/>
  <c r="BR42" i="21"/>
  <c r="BQ42" i="21"/>
  <c r="BR12" i="21"/>
  <c r="O43" i="21"/>
  <c r="O45" i="21"/>
  <c r="O48" i="21"/>
  <c r="O47" i="21"/>
  <c r="O46" i="21"/>
  <c r="O41" i="21"/>
  <c r="O42" i="21"/>
  <c r="O49" i="21"/>
  <c r="O44" i="21"/>
  <c r="O59" i="21"/>
  <c r="C190" i="22" s="1"/>
  <c r="BW42" i="21"/>
  <c r="E171" i="22" s="1"/>
  <c r="BW12" i="21"/>
  <c r="E157" i="22" s="1"/>
  <c r="BV42" i="21" l="1"/>
  <c r="D171" i="22" s="1"/>
  <c r="M18" i="8"/>
  <c r="N16" i="8"/>
  <c r="N20" i="9"/>
  <c r="N21" i="9" s="1"/>
  <c r="N18" i="9"/>
  <c r="N19" i="9" s="1"/>
  <c r="BV12" i="21"/>
  <c r="D157" i="22" s="1"/>
  <c r="P66" i="21"/>
  <c r="D183" i="22" s="1"/>
  <c r="P59" i="21"/>
  <c r="D190" i="22" s="1"/>
  <c r="P58" i="21"/>
  <c r="P63" i="21"/>
  <c r="D186" i="22" s="1"/>
  <c r="P64" i="21"/>
  <c r="D185" i="22" s="1"/>
  <c r="P65" i="21"/>
  <c r="D184" i="22" s="1"/>
  <c r="P62" i="21"/>
  <c r="D187" i="22" s="1"/>
  <c r="P61" i="21"/>
  <c r="D188" i="22" s="1"/>
  <c r="P60" i="21"/>
  <c r="D189" i="22" s="1"/>
  <c r="D192" i="22" l="1"/>
  <c r="N18" i="8"/>
  <c r="O16" i="8"/>
  <c r="O20" i="9"/>
  <c r="O21" i="9" s="1"/>
  <c r="O18" i="9"/>
  <c r="O19" i="9" s="1"/>
  <c r="O18" i="8" l="1"/>
  <c r="P16" i="8"/>
  <c r="P20" i="9"/>
  <c r="P21" i="9" s="1"/>
  <c r="P18" i="9"/>
  <c r="P19" i="9" s="1"/>
  <c r="P18" i="8" l="1"/>
  <c r="Q16" i="8"/>
  <c r="Q20" i="9"/>
  <c r="Q21" i="9" s="1"/>
  <c r="Q18" i="9"/>
  <c r="Q19" i="9" s="1"/>
  <c r="R20" i="9" l="1"/>
  <c r="R21" i="9" s="1"/>
  <c r="R18" i="9"/>
  <c r="R19" i="9" s="1"/>
  <c r="R16" i="8"/>
  <c r="Q18" i="8"/>
  <c r="S18" i="9" l="1"/>
  <c r="S19" i="9" s="1"/>
  <c r="S20" i="9"/>
  <c r="S21" i="9" s="1"/>
  <c r="S16" i="8"/>
  <c r="R18" i="8"/>
  <c r="T20" i="9" l="1"/>
  <c r="T21" i="9" s="1"/>
  <c r="T18" i="9"/>
  <c r="T19" i="9" s="1"/>
  <c r="T16" i="8"/>
  <c r="S18" i="8"/>
  <c r="U18" i="9" l="1"/>
  <c r="U19" i="9" s="1"/>
  <c r="U20" i="9"/>
  <c r="U21" i="9" s="1"/>
  <c r="U16" i="8"/>
  <c r="T18" i="8"/>
  <c r="V20" i="9" l="1"/>
  <c r="V21" i="9" s="1"/>
  <c r="V18" i="9"/>
  <c r="V19" i="9" s="1"/>
  <c r="V16" i="8"/>
  <c r="U18" i="8"/>
  <c r="W20" i="9" s="1"/>
  <c r="W21" i="9" s="1"/>
  <c r="V18" i="8" l="1"/>
  <c r="X20" i="9" s="1"/>
  <c r="X21" i="9" s="1"/>
  <c r="W16" i="8"/>
  <c r="W18" i="8" l="1"/>
  <c r="Y20" i="9" s="1"/>
  <c r="Y21" i="9" s="1"/>
  <c r="X16" i="8"/>
  <c r="X18" i="8" l="1"/>
  <c r="Z20" i="9" s="1"/>
  <c r="Z21" i="9" s="1"/>
  <c r="Y16" i="8"/>
  <c r="Y18" i="8" l="1"/>
  <c r="AA20" i="9" s="1"/>
  <c r="AA21" i="9" s="1"/>
  <c r="Z16" i="8"/>
  <c r="Z18" i="8" l="1"/>
  <c r="AB20" i="9" s="1"/>
  <c r="AB21" i="9" s="1"/>
  <c r="AA16" i="8"/>
  <c r="AA18" i="8" l="1"/>
  <c r="AC20" i="9" s="1"/>
  <c r="AC21" i="9" s="1"/>
  <c r="AB16" i="8"/>
  <c r="AB18" i="8" l="1"/>
  <c r="AD20" i="9" s="1"/>
  <c r="AD21" i="9" s="1"/>
  <c r="AC16" i="8"/>
  <c r="AC18" i="8" l="1"/>
  <c r="AE20" i="9" s="1"/>
  <c r="AE21" i="9" s="1"/>
  <c r="AD16" i="8"/>
  <c r="AD18" i="8" l="1"/>
  <c r="AF20" i="9" s="1"/>
  <c r="AF21" i="9" s="1"/>
  <c r="AE16" i="8"/>
  <c r="AE18" i="8" l="1"/>
  <c r="AG20" i="9" s="1"/>
  <c r="AG21" i="9" s="1"/>
  <c r="AF16" i="8"/>
  <c r="AF18" i="8" l="1"/>
  <c r="AH20" i="9" s="1"/>
  <c r="AH21" i="9" s="1"/>
  <c r="AG16" i="8"/>
  <c r="AG18" i="8" l="1"/>
  <c r="AI20" i="9" s="1"/>
  <c r="AI21" i="9" s="1"/>
  <c r="AH16" i="8"/>
  <c r="AH18" i="8" l="1"/>
  <c r="AJ20" i="9" s="1"/>
  <c r="AJ21" i="9" s="1"/>
  <c r="AI16" i="8"/>
  <c r="AI18" i="8" s="1"/>
  <c r="AK20" i="9" s="1"/>
  <c r="AK2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Zhenchen Li</author>
  </authors>
  <commentList>
    <comment ref="C96" authorId="0" shapeId="0" xr:uid="{148C192A-1B6E-4F72-8E59-4171DFED306C}">
      <text>
        <r>
          <rPr>
            <b/>
            <sz val="9"/>
            <color indexed="81"/>
            <rFont val="Tahoma"/>
            <family val="2"/>
          </rPr>
          <t>Zhenchen Li:</t>
        </r>
        <r>
          <rPr>
            <sz val="9"/>
            <color indexed="81"/>
            <rFont val="Tahoma"/>
            <family val="2"/>
          </rPr>
          <t xml:space="preserve">
4.03%*Packaging NG portion</t>
        </r>
      </text>
    </comment>
    <comment ref="C97" authorId="0" shapeId="0" xr:uid="{91B50ACB-92CE-4312-A5E8-31BA2CCC44B6}">
      <text>
        <r>
          <rPr>
            <b/>
            <sz val="9"/>
            <color indexed="81"/>
            <rFont val="Tahoma"/>
            <family val="2"/>
          </rPr>
          <t>Zhenchen Li:</t>
        </r>
        <r>
          <rPr>
            <sz val="9"/>
            <color indexed="81"/>
            <rFont val="Tahoma"/>
            <family val="2"/>
          </rPr>
          <t xml:space="preserve">
18.42%*Packaging electricity portion</t>
        </r>
      </text>
    </comment>
    <comment ref="C117" authorId="0" shapeId="0" xr:uid="{4B3AD3B9-5766-48A7-AD23-789AEBB6C5F3}">
      <text>
        <r>
          <rPr>
            <b/>
            <sz val="9"/>
            <color indexed="81"/>
            <rFont val="Tahoma"/>
            <family val="2"/>
          </rPr>
          <t>Zhenchen Li:</t>
        </r>
        <r>
          <rPr>
            <sz val="9"/>
            <color indexed="81"/>
            <rFont val="Tahoma"/>
            <family val="2"/>
          </rPr>
          <t xml:space="preserve">
65%*Packaging portion</t>
        </r>
      </text>
    </comment>
    <comment ref="C118" authorId="0" shapeId="0" xr:uid="{757CFC0A-EDB9-495E-9012-F135AD6C13EF}">
      <text>
        <r>
          <rPr>
            <b/>
            <sz val="9"/>
            <color indexed="81"/>
            <rFont val="Tahoma"/>
            <family val="2"/>
          </rPr>
          <t>Zhenchen Li:</t>
        </r>
        <r>
          <rPr>
            <sz val="9"/>
            <color indexed="81"/>
            <rFont val="Tahoma"/>
            <family val="2"/>
          </rPr>
          <t xml:space="preserve">
100%*packaging portion
</t>
        </r>
      </text>
    </comment>
    <comment ref="C138" authorId="0" shapeId="0" xr:uid="{3BEDA6E1-C98B-4BFB-B0E0-12B4F0288910}">
      <text>
        <r>
          <rPr>
            <b/>
            <sz val="9"/>
            <color indexed="81"/>
            <rFont val="Tahoma"/>
            <family val="2"/>
          </rPr>
          <t>Zhenchen Li:</t>
        </r>
        <r>
          <rPr>
            <sz val="9"/>
            <color indexed="81"/>
            <rFont val="Tahoma"/>
            <family val="2"/>
          </rPr>
          <t xml:space="preserve">
based on Capri 1 HVAC potential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9D7210-F47F-4450-B9B8-9EE80063E904}" keepAlive="1" name="Query - Activity_Data" description="Connection to the 'Activity_Data' query in the workbook." type="5" refreshedVersion="8" background="1" saveData="1">
    <dbPr connection="Provider=Microsoft.Mashup.OleDb.1;Data Source=$Workbook$;Location=Activity_Data;Extended Properties=&quot;&quot;" command="SELECT * FROM [Activity_Data]"/>
  </connection>
  <connection id="2" xr16:uid="{10C5B220-408E-4803-B358-40EF48A1A85D}" keepAlive="1" name="Query - ConversionTable" description="Connection to the 'ConversionTable' query in the workbook." type="5" refreshedVersion="0" background="1">
    <dbPr connection="Provider=Microsoft.Mashup.OleDb.1;Data Source=$Workbook$;Location=ConversionTable;Extended Properties=&quot;&quot;" command="SELECT * FROM [ConversionTable]"/>
  </connection>
  <connection id="3" xr16:uid="{F7018F0A-C0AB-4265-931F-EB35D312F3E6}" keepAlive="1" name="Query - Enterprise" description="Connection to the 'Enterprise' query in the workbook." type="5" refreshedVersion="0" background="1">
    <dbPr connection="Provider=Microsoft.Mashup.OleDb.1;Data Source=$Workbook$;Location=Enterprise;Extended Properties=&quot;&quot;" command="SELECT * FROM [Enterprise]"/>
  </connection>
  <connection id="4" xr16:uid="{C9EE1B9E-4F5C-40B7-9AAF-1BCF9A95D2C9}" keepAlive="1" name="Query - Scope" description="Connection to the 'Scope' query in the workbook." type="5" refreshedVersion="0" background="1" saveData="1">
    <dbPr connection="Provider=Microsoft.Mashup.OleDb.1;Data Source=$Workbook$;Location=Scope;Extended Properties=&quot;&quot;" command="SELECT * FROM [Scope]"/>
  </connection>
  <connection id="5" xr16:uid="{B722E010-1B33-4713-8E43-C4E7F94AE71B}" keepAlive="1" name="Query - Scope1EF" description="Connection to the 'Scope1EF' query in the workbook." type="5" refreshedVersion="0" background="1">
    <dbPr connection="Provider=Microsoft.Mashup.OleDb.1;Data Source=$Workbook$;Location=Scope1EF;Extended Properties=&quot;&quot;" command="SELECT * FROM [Scope1EF]"/>
  </connection>
  <connection id="6" xr16:uid="{BEB5AD30-D5D9-4775-B4B7-398ABFA5493D}" keepAlive="1" name="Query - Site_Activity_Data_By_Scope" description="Connection to the 'Site_Activity_Data_By_Scope' query in the workbook." type="5" refreshedVersion="8" background="1" saveData="1">
    <dbPr connection="Provider=Microsoft.Mashup.OleDb.1;Data Source=$Workbook$;Location=Site_Activity_Data_By_Scope;Extended Properties=&quot;&quot;" command="SELECT * FROM [Site_Activity_Data_By_Scope]"/>
  </connection>
  <connection id="7" xr16:uid="{E1E095BA-F741-4A26-974A-8690DBFEF4ED}" keepAlive="1" name="Query - Site_Activity_Data_By_Source" description="Connection to the 'Site_Activity_Data_By_Source' query in the workbook." type="5" refreshedVersion="8" background="1" saveData="1">
    <dbPr connection="Provider=Microsoft.Mashup.OleDb.1;Data Source=$Workbook$;Location=Site_Activity_Data_By_Source;Extended Properties=&quot;&quot;" command="SELECT * FROM [Site_Activity_Data_By_Source]"/>
  </connection>
  <connection id="8" xr16:uid="{20156D39-C4EE-401E-8E85-0337F7E571A9}" keepAlive="1" name="Query - Site10" description="Connection to the 'Site10' query in the workbook." type="5" refreshedVersion="0" background="1">
    <dbPr connection="Provider=Microsoft.Mashup.OleDb.1;Data Source=$Workbook$;Location=Site10;Extended Properties=&quot;&quot;" command="SELECT * FROM [Site10]"/>
  </connection>
  <connection id="9" xr16:uid="{C60BABFD-3340-4EA6-AEB9-32824445D903}" keepAlive="1" name="Query - Site2" description="Connection to the 'Site2' query in the workbook." type="5" refreshedVersion="0" background="1">
    <dbPr connection="Provider=Microsoft.Mashup.OleDb.1;Data Source=$Workbook$;Location=Site2;Extended Properties=&quot;&quot;" command="SELECT * FROM [Site2]"/>
  </connection>
  <connection id="10" xr16:uid="{A87D260E-2F8E-4A63-A0A3-6353598345B5}" keepAlive="1" name="Query - Site3" description="Connection to the 'Site3' query in the workbook." type="5" refreshedVersion="0" background="1">
    <dbPr connection="Provider=Microsoft.Mashup.OleDb.1;Data Source=$Workbook$;Location=Site3;Extended Properties=&quot;&quot;" command="SELECT * FROM [Site3]"/>
  </connection>
  <connection id="11" xr16:uid="{7D6ADE54-CC0D-483D-8109-93A34F6DB67C}" keepAlive="1" name="Query - Site4" description="Connection to the 'Site4' query in the workbook." type="5" refreshedVersion="8" background="1" saveData="1">
    <dbPr connection="Provider=Microsoft.Mashup.OleDb.1;Data Source=$Workbook$;Location=Site4;Extended Properties=&quot;&quot;" command="SELECT * FROM [Site4]"/>
  </connection>
  <connection id="12" xr16:uid="{AAED2B34-A94E-4F2B-B889-09CAD718396E}" keepAlive="1" name="Query - Site5" description="Connection to the 'Site5' query in the workbook." type="5" refreshedVersion="0" background="1" saveData="1">
    <dbPr connection="Provider=Microsoft.Mashup.OleDb.1;Data Source=$Workbook$;Location=Site5;Extended Properties=&quot;&quot;" command="SELECT * FROM [Site5]"/>
  </connection>
  <connection id="13" xr16:uid="{04BAFBC0-1BEB-4060-B082-54483756CE9A}" keepAlive="1" name="Query - Site6" description="Connection to the 'Site6' query in the workbook." type="5" refreshedVersion="0" background="1">
    <dbPr connection="Provider=Microsoft.Mashup.OleDb.1;Data Source=$Workbook$;Location=Site6;Extended Properties=&quot;&quot;" command="SELECT * FROM [Site6]"/>
  </connection>
  <connection id="14" xr16:uid="{781F154F-9D38-451E-AF24-692CB4E46E6E}" keepAlive="1" name="Query - Site7" description="Connection to the 'Site7' query in the workbook." type="5" refreshedVersion="0" background="1" saveData="1">
    <dbPr connection="Provider=Microsoft.Mashup.OleDb.1;Data Source=$Workbook$;Location=Site7;Extended Properties=&quot;&quot;" command="SELECT * FROM [Site7]"/>
  </connection>
  <connection id="15" xr16:uid="{1197062A-A94D-4BAB-AA51-D3D07AB93899}" keepAlive="1" name="Query - Site8" description="Connection to the 'Site8' query in the workbook." type="5" refreshedVersion="0" background="1">
    <dbPr connection="Provider=Microsoft.Mashup.OleDb.1;Data Source=$Workbook$;Location=Site8;Extended Properties=&quot;&quot;" command="SELECT * FROM [Site8]"/>
  </connection>
  <connection id="16" xr16:uid="{257673AB-BF96-4363-B902-2FEC94B159A2}" keepAlive="1" name="Query - Site9" description="Connection to the 'Site9' query in the workbook." type="5" refreshedVersion="0" background="1">
    <dbPr connection="Provider=Microsoft.Mashup.OleDb.1;Data Source=$Workbook$;Location=Site9;Extended Properties=&quot;&quot;" command="SELECT * FROM [Site9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<sst xmlns="http://schemas.openxmlformats.org/spreadsheetml/2006/main" count="2199" uniqueCount="486">
  <si>
    <t>Table of Contents</t>
  </si>
  <si>
    <t>1. Emissions Forecast</t>
  </si>
  <si>
    <t>2. Facility Emissions</t>
  </si>
  <si>
    <t>3. Decarbonization Strategy</t>
  </si>
  <si>
    <t>Instructions</t>
  </si>
  <si>
    <t>Input Format Key</t>
  </si>
  <si>
    <t>Cells where the user can enter inputs</t>
  </si>
  <si>
    <t>Cells will automatically calculate - please do not change</t>
  </si>
  <si>
    <t>General Company and Contact Information</t>
  </si>
  <si>
    <t>Company Name</t>
  </si>
  <si>
    <t>6-Digit Honda Supplier Number</t>
  </si>
  <si>
    <t>Name of Project Leader</t>
  </si>
  <si>
    <t>Title of Project Leader</t>
  </si>
  <si>
    <t>Email of Project Leader</t>
  </si>
  <si>
    <t>Emissions Data Input</t>
  </si>
  <si>
    <t>Step 1: Enter the most recent year of data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</si>
  <si>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>: Please enter the year of your most recent year of emissions data.</t>
    </r>
  </si>
  <si>
    <t>Base Year</t>
  </si>
  <si>
    <t>Most Recent Year of Data</t>
  </si>
  <si>
    <t>Step 2: Enter base year and most recent year emissions data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</si>
  <si>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 xml:space="preserve">: Enter your emissions data as accessible from M2030 for both 2019 as well as your most recent year's data. </t>
    </r>
  </si>
  <si>
    <r>
      <t xml:space="preserve">If 2019 is your most recent year of data, please re-enter it in the appropriate field. *Please refer to </t>
    </r>
    <r>
      <rPr>
        <b/>
        <sz val="11"/>
        <color theme="3"/>
        <rFont val="Arial Narrow"/>
        <family val="2"/>
        <scheme val="minor"/>
      </rPr>
      <t>Section 03.02</t>
    </r>
    <r>
      <rPr>
        <b/>
        <sz val="11"/>
        <rFont val="Arial Narrow"/>
        <family val="2"/>
        <scheme val="minor"/>
      </rPr>
      <t xml:space="preserve"> in the Playbook for help on finding this figure, if needed.</t>
    </r>
  </si>
  <si>
    <t>2019 Emissions (Base Year)</t>
  </si>
  <si>
    <t>Total Scope 1&amp;2 Emissions (kg)</t>
  </si>
  <si>
    <t>Most Recent Year Emissions</t>
  </si>
  <si>
    <t xml:space="preserve">Year </t>
  </si>
  <si>
    <t>Step 3: Enter your projected emissions growth rate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</si>
  <si>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>: You must project your growth rate to understand how your emissions will change as your production changes over time.</t>
    </r>
  </si>
  <si>
    <r>
      <t xml:space="preserve">We will use projected financial growth to determine emissions growth. *Please refer to </t>
    </r>
    <r>
      <rPr>
        <b/>
        <sz val="11"/>
        <color theme="3"/>
        <rFont val="Arial Narrow"/>
        <family val="2"/>
        <scheme val="minor"/>
      </rPr>
      <t>Section 03.03</t>
    </r>
    <r>
      <rPr>
        <b/>
        <sz val="11"/>
        <rFont val="Arial Narrow"/>
        <family val="2"/>
        <scheme val="minor"/>
      </rPr>
      <t xml:space="preserve"> in the Playbook for further support, if needed.</t>
    </r>
  </si>
  <si>
    <t>Projected Growth Rate (%)</t>
  </si>
  <si>
    <t>OUTPUT: Total Emissions Forecast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</si>
  <si>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>: The chart below showcases your emissions forecast out to 2050 based on the emissions data you entered above and selected projected growth rate.</t>
    </r>
  </si>
  <si>
    <t>Your 2019 Base Year or Baseline emissions are shown via the dotted line.</t>
  </si>
  <si>
    <t>Figure 1: Emissions Forecast</t>
  </si>
  <si>
    <t>Emissions Forecast</t>
  </si>
  <si>
    <t>Total Emissions Forecast</t>
  </si>
  <si>
    <t>Baseline emissions</t>
  </si>
  <si>
    <t>Scope</t>
  </si>
  <si>
    <t>UoM</t>
  </si>
  <si>
    <t>Total Scope 1</t>
  </si>
  <si>
    <t>MT CO2e</t>
  </si>
  <si>
    <t>Total Scope 2</t>
  </si>
  <si>
    <t>Total Baseline Emissions (Scope 1 + 2)</t>
  </si>
  <si>
    <t>Baseline emissions + Organic Growth</t>
  </si>
  <si>
    <t>Total Emissions (Scope 1 + 2)</t>
  </si>
  <si>
    <t>Activity Data Input</t>
  </si>
  <si>
    <t>Company Info:</t>
  </si>
  <si>
    <t>Step 4: Enter facility level data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</si>
  <si>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 xml:space="preserve">: Enter activity data, just as it was entered into M2030, for your most recent year's data for each site indivdually. </t>
    </r>
  </si>
  <si>
    <r>
      <t xml:space="preserve">Be sure to update the </t>
    </r>
    <r>
      <rPr>
        <b/>
        <u/>
        <sz val="11"/>
        <color theme="3"/>
        <rFont val="Arial Narrow"/>
        <family val="2"/>
        <scheme val="minor"/>
      </rPr>
      <t>site name</t>
    </r>
    <r>
      <rPr>
        <b/>
        <sz val="11"/>
        <rFont val="Arial Narrow"/>
        <family val="2"/>
        <scheme val="minor"/>
      </rPr>
      <t xml:space="preserve"> and emissions source </t>
    </r>
    <r>
      <rPr>
        <b/>
        <u/>
        <sz val="11"/>
        <color theme="3"/>
        <rFont val="Arial Narrow"/>
        <family val="2"/>
        <scheme val="minor"/>
      </rPr>
      <t>units</t>
    </r>
    <r>
      <rPr>
        <b/>
        <sz val="11"/>
        <rFont val="Arial Narrow"/>
        <family val="2"/>
        <scheme val="minor"/>
      </rPr>
      <t xml:space="preserve"> for each site you enter data for. For any emission source that is not relevant to your facility, please enter 0.</t>
    </r>
  </si>
  <si>
    <r>
      <t xml:space="preserve">*Please refer to </t>
    </r>
    <r>
      <rPr>
        <b/>
        <sz val="11"/>
        <color theme="3"/>
        <rFont val="Arial Narrow"/>
        <family val="2"/>
        <scheme val="minor"/>
      </rPr>
      <t>Section 03.04</t>
    </r>
    <r>
      <rPr>
        <b/>
        <sz val="11"/>
        <rFont val="Arial Narrow"/>
        <family val="2"/>
        <scheme val="minor"/>
      </rPr>
      <t xml:space="preserve"> of the Playbook for further support, if needed.</t>
    </r>
  </si>
  <si>
    <t>Site #1 Name (if available):</t>
  </si>
  <si>
    <t>Site #1</t>
  </si>
  <si>
    <t>Site #2 Name (if available):</t>
  </si>
  <si>
    <t>Site #2</t>
  </si>
  <si>
    <t>Site #3 Name (if available):</t>
  </si>
  <si>
    <t>Site #3</t>
  </si>
  <si>
    <t>Site #4 Name (if available):</t>
  </si>
  <si>
    <t>Site #4</t>
  </si>
  <si>
    <t>Site #5 Name (if available):</t>
  </si>
  <si>
    <t>Site #5</t>
  </si>
  <si>
    <t>Site Name</t>
  </si>
  <si>
    <t>Emissions Source</t>
  </si>
  <si>
    <t>Unit</t>
  </si>
  <si>
    <t>Total Values</t>
  </si>
  <si>
    <t>Electricity (renewable purchased)</t>
  </si>
  <si>
    <t>kWh</t>
  </si>
  <si>
    <t>Electricity (standard)</t>
  </si>
  <si>
    <t>MWh</t>
  </si>
  <si>
    <t>Coking Coal</t>
  </si>
  <si>
    <t>MT</t>
  </si>
  <si>
    <t>Kerosene</t>
  </si>
  <si>
    <t>Gallon</t>
  </si>
  <si>
    <t>Diesel Oil</t>
  </si>
  <si>
    <t>Petrol/Gasoline</t>
  </si>
  <si>
    <t>Natural Gas</t>
  </si>
  <si>
    <t>therm</t>
  </si>
  <si>
    <t>Natural Gas Liquids (NGLs)</t>
  </si>
  <si>
    <t>Liquified petroleum gases</t>
  </si>
  <si>
    <t>Crude Oil</t>
  </si>
  <si>
    <t>mmBtu</t>
  </si>
  <si>
    <t>Residual Fuel Oil</t>
  </si>
  <si>
    <t>Shale Oil</t>
  </si>
  <si>
    <t>Anthracite</t>
  </si>
  <si>
    <t>Bitumen (Orimulsion)</t>
  </si>
  <si>
    <t>Brown Coal (Lignite)</t>
  </si>
  <si>
    <t>Sub-Bituminous coal</t>
  </si>
  <si>
    <t>Petroleum coke</t>
  </si>
  <si>
    <t>Purchased cooling</t>
  </si>
  <si>
    <t>MTCO2e</t>
  </si>
  <si>
    <t>Purchased heat</t>
  </si>
  <si>
    <t>Purchased steam</t>
  </si>
  <si>
    <t>Site #6 Name (if available):</t>
  </si>
  <si>
    <t>Site #7 Name (if available):</t>
  </si>
  <si>
    <t>Site #7</t>
  </si>
  <si>
    <t>Site #8 Name (if available):</t>
  </si>
  <si>
    <t>Site #8</t>
  </si>
  <si>
    <t>Site #9 Name (if available):</t>
  </si>
  <si>
    <t>Site #9</t>
  </si>
  <si>
    <t>Site #10 Name (if available):</t>
  </si>
  <si>
    <t>Site #10</t>
  </si>
  <si>
    <t>OUTPUT: Activity Data Summary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</si>
  <si>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>: Based on your facility level data entered, we've highlighted your top emissions sources below based on the Hot Spot Analysis done in Figures 2 &amp; 3.</t>
    </r>
  </si>
  <si>
    <t>Figure 2 shows your percentage of Scope 1 and 2 emissions by site. Figure 3 shows your percentage of each emissions source by site.</t>
  </si>
  <si>
    <r>
      <t xml:space="preserve">Note: Once you have completed inputting your facility level data, please remember to hit </t>
    </r>
    <r>
      <rPr>
        <b/>
        <i/>
        <u/>
        <sz val="11"/>
        <color theme="5"/>
        <rFont val="Arial Narrow"/>
        <family val="2"/>
        <scheme val="minor"/>
      </rPr>
      <t>'Refresh All'</t>
    </r>
    <r>
      <rPr>
        <b/>
        <sz val="11"/>
        <color theme="5"/>
        <rFont val="Arial Narrow"/>
        <family val="2"/>
        <scheme val="minor"/>
      </rPr>
      <t xml:space="preserve"> located under the Data tab in the top ribbon. Refer to </t>
    </r>
    <r>
      <rPr>
        <b/>
        <sz val="11"/>
        <color theme="3"/>
        <rFont val="Arial Narrow"/>
        <family val="2"/>
        <scheme val="minor"/>
      </rPr>
      <t>Section 03.04</t>
    </r>
    <r>
      <rPr>
        <b/>
        <sz val="11"/>
        <color theme="5"/>
        <rFont val="Arial Narrow"/>
        <family val="2"/>
        <scheme val="minor"/>
      </rPr>
      <t xml:space="preserve"> in the Playbook for instructions, if needed.</t>
    </r>
  </si>
  <si>
    <t>Top Emission Sources</t>
  </si>
  <si>
    <t>Reccomended Action</t>
  </si>
  <si>
    <t>Total Scope 1 Emissions (MTCO2e)</t>
  </si>
  <si>
    <t>Total Market-Based Scope 2 Emissions (MTCO2e)</t>
  </si>
  <si>
    <t>Activity Data Year</t>
  </si>
  <si>
    <t>Overall Enterprise Level</t>
  </si>
  <si>
    <t>Emissions Hot Spots by Activity</t>
  </si>
  <si>
    <t>Scope 1</t>
  </si>
  <si>
    <t>Scope 2</t>
  </si>
  <si>
    <t>Goal Scenarios</t>
  </si>
  <si>
    <t>Goal Scenarios Summary</t>
  </si>
  <si>
    <t>Scenario No.</t>
  </si>
  <si>
    <t>Target/Scenario</t>
  </si>
  <si>
    <t>Near-Term Target Year</t>
  </si>
  <si>
    <t>Long-Term Target Year</t>
  </si>
  <si>
    <t>Scope 1 and 2</t>
  </si>
  <si>
    <t>Near-Term Reduction (%)</t>
  </si>
  <si>
    <t>Long-Term Reduction (%)</t>
  </si>
  <si>
    <t>Scenario 1</t>
  </si>
  <si>
    <t>5.7% annual reduction until 2035 from 2019 baseline, starting in 2025</t>
  </si>
  <si>
    <t>-</t>
  </si>
  <si>
    <t>Scenario 2</t>
  </si>
  <si>
    <t>5.7% annual reduction until 2035 from 2019 baseline, starting in 2025; 2.86% annual reduction starting in 2036 until 100% goal is reached</t>
  </si>
  <si>
    <t>Scenario Calculations</t>
  </si>
  <si>
    <t>Residual Emissions</t>
  </si>
  <si>
    <t>Scope 1, 2</t>
  </si>
  <si>
    <t>Required Mitigation</t>
  </si>
  <si>
    <t>Mitigation as % of Annual Emissions (Scope 1, 2, 3)</t>
  </si>
  <si>
    <t>2035 Min Expense impact</t>
  </si>
  <si>
    <t>2035 Max Expense Impact</t>
  </si>
  <si>
    <t>2035 Min Capital Investment</t>
  </si>
  <si>
    <t>None</t>
  </si>
  <si>
    <t>Max Capital Cost</t>
  </si>
  <si>
    <t>Energy Efficiency</t>
  </si>
  <si>
    <t>Electrification</t>
  </si>
  <si>
    <t>Fuel Switching</t>
  </si>
  <si>
    <t>Onsite</t>
  </si>
  <si>
    <t>PPAs</t>
  </si>
  <si>
    <t>Utility Programs</t>
  </si>
  <si>
    <t>RECs</t>
  </si>
  <si>
    <t>After Renewable Electricity</t>
  </si>
  <si>
    <t>GotG</t>
  </si>
  <si>
    <t>Min OPEX Impact</t>
  </si>
  <si>
    <t>Max OPEX Impact</t>
  </si>
  <si>
    <t>Min for table</t>
  </si>
  <si>
    <t>Max for table</t>
  </si>
  <si>
    <t>Min CAPEX Impact</t>
  </si>
  <si>
    <t>Max CAPEX Impact</t>
  </si>
  <si>
    <t>Capital Assessment</t>
  </si>
  <si>
    <t>Expense Assessment</t>
  </si>
  <si>
    <t>Payback Assessment</t>
  </si>
  <si>
    <t>Category</t>
  </si>
  <si>
    <t>%</t>
  </si>
  <si>
    <t>Emmissions</t>
  </si>
  <si>
    <t>Total</t>
  </si>
  <si>
    <t>Remaining Emissions</t>
  </si>
  <si>
    <t>Min Payback</t>
  </si>
  <si>
    <t>Max Payback</t>
  </si>
  <si>
    <t>Financial Transformation</t>
  </si>
  <si>
    <t>Digits</t>
  </si>
  <si>
    <t>Suffix</t>
  </si>
  <si>
    <t>Round</t>
  </si>
  <si>
    <t>No expense savings</t>
  </si>
  <si>
    <t>Likely payback</t>
  </si>
  <si>
    <t>k</t>
  </si>
  <si>
    <t>Unlikely payback</t>
  </si>
  <si>
    <t>M</t>
  </si>
  <si>
    <t>Alternative fuel</t>
  </si>
  <si>
    <t>Sum of emissions (original grid)</t>
  </si>
  <si>
    <t>B</t>
  </si>
  <si>
    <t>Sum of emissions (greened grid)</t>
  </si>
  <si>
    <t>2050 Min Expense Impact</t>
  </si>
  <si>
    <t>2050 Max Expense Impact</t>
  </si>
  <si>
    <t>2050 Min Capital Investment</t>
  </si>
  <si>
    <t>Goal Line</t>
  </si>
  <si>
    <t>Greening of the Grid</t>
  </si>
  <si>
    <t>Onsite Solar</t>
  </si>
  <si>
    <t>Decarbonization Lever Input</t>
  </si>
  <si>
    <t>OUTPUT: Top Emission Sources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</si>
  <si>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 xml:space="preserve">: Below are your top </t>
    </r>
    <r>
      <rPr>
        <b/>
        <u/>
        <sz val="11"/>
        <rFont val="Arial Narrow"/>
        <family val="2"/>
        <scheme val="minor"/>
      </rPr>
      <t>two</t>
    </r>
    <r>
      <rPr>
        <b/>
        <sz val="11"/>
        <rFont val="Arial Narrow"/>
        <family val="2"/>
        <scheme val="minor"/>
      </rPr>
      <t xml:space="preserve"> emission sources based on the facility level data you inputted.</t>
    </r>
  </si>
  <si>
    <t>As you work to complete the remaining steps, use these high-level reccomendations to inform what decarbonization levers to focus on first.</t>
  </si>
  <si>
    <t>Note: As a general rule of thumb, the reccomended levers will give you the highest impact as you estimate your potential reduction percentages.</t>
  </si>
  <si>
    <t>Reccomended Decarbonization Levers</t>
  </si>
  <si>
    <t>Step 5: Estimate energy efficiency opportunity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</si>
  <si>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>: Estimate the percentage of electricity and fuel you expect to reduce due to energy efficiency improvements by 2035 and 2050.</t>
    </r>
  </si>
  <si>
    <r>
      <t xml:space="preserve">*Please reference </t>
    </r>
    <r>
      <rPr>
        <b/>
        <sz val="11"/>
        <color theme="3"/>
        <rFont val="Arial Narrow"/>
        <family val="2"/>
        <scheme val="minor"/>
      </rPr>
      <t>Section 03.05</t>
    </r>
    <r>
      <rPr>
        <b/>
        <sz val="11"/>
        <rFont val="Arial Narrow"/>
        <family val="2"/>
        <scheme val="minor"/>
      </rPr>
      <t xml:space="preserve"> in the Playbook for industry guidance based on facility age.</t>
    </r>
  </si>
  <si>
    <t>Decarbonization Lever Bucket</t>
  </si>
  <si>
    <t>2035</t>
  </si>
  <si>
    <t>2050</t>
  </si>
  <si>
    <t>Optional: Add brief notes on existing initiatives</t>
  </si>
  <si>
    <t>Step 6: Estimate coverage of electrification and fuel switching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</si>
  <si>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>: Estimate the percentage of fuel that can be electrified or switched to a renewable fuel.</t>
    </r>
  </si>
  <si>
    <r>
      <t xml:space="preserve">*Please reference </t>
    </r>
    <r>
      <rPr>
        <b/>
        <sz val="11"/>
        <color theme="3"/>
        <rFont val="Arial Narrow"/>
        <family val="2"/>
        <scheme val="minor"/>
      </rPr>
      <t>Section 03.06</t>
    </r>
    <r>
      <rPr>
        <b/>
        <sz val="11"/>
        <rFont val="Arial Narrow"/>
        <family val="2"/>
        <scheme val="minor"/>
      </rPr>
      <t xml:space="preserve"> in the Playbook for additional guidance on estimating the oppurtunity for electrification and fuel switching based on your facility type.</t>
    </r>
  </si>
  <si>
    <t>a. Enter your approximate percentages for fuel used for space heating (HVAC) compared to fuel used for processes (steam generation, etc.):</t>
  </si>
  <si>
    <t>Note: The default is 100% of fuel used for space heating</t>
  </si>
  <si>
    <t>Percent of fuel for space heating</t>
  </si>
  <si>
    <t>Percent of fuel used of process heating</t>
  </si>
  <si>
    <t>Note: We recommend considering Electrification for at least your full percentage of space heating,</t>
  </si>
  <si>
    <t>while considering either electrification or fuel switching for the remainder</t>
  </si>
  <si>
    <t>Total fossil fuels retrofit</t>
  </si>
  <si>
    <t>Step 7: Estimate the percentage of your electricity which will be renewable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</si>
  <si>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>: Estimate the percentage of your electricity for which you plan to procure renewable energy using Onsite Solar, PPAs &amp; VPPAs, Utility Programs, and RECs.</t>
    </r>
  </si>
  <si>
    <r>
      <t xml:space="preserve">*Please reference </t>
    </r>
    <r>
      <rPr>
        <b/>
        <sz val="11"/>
        <color theme="3"/>
        <rFont val="Arial Narrow"/>
        <family val="2"/>
        <scheme val="minor"/>
      </rPr>
      <t>Section 03.07</t>
    </r>
    <r>
      <rPr>
        <b/>
        <sz val="11"/>
        <rFont val="Arial Narrow"/>
        <family val="2"/>
        <scheme val="minor"/>
      </rPr>
      <t xml:space="preserve"> in the Playbook for additional guidance on estimitating each renewable energy procurement option.</t>
    </r>
  </si>
  <si>
    <t>a. Estimate your maximum onsite solar potential by entering total owned roof and land square footage</t>
  </si>
  <si>
    <t>Owned roof and land square footage</t>
  </si>
  <si>
    <t>Maximum kWh potential</t>
  </si>
  <si>
    <t>b. Compare your total potential solar production to your total projected electricity load</t>
  </si>
  <si>
    <t>Note: Your projected load will vary based on your Electrification % selected above</t>
  </si>
  <si>
    <t>Total projected kWh load</t>
  </si>
  <si>
    <t>Max % Covered by Onsite</t>
  </si>
  <si>
    <t>d. Estimate the percentage of renewable electricity you expect to cover with PPAs, Utility Programs, and REC purchases</t>
  </si>
  <si>
    <t>PPAs &amp; VPPAs</t>
  </si>
  <si>
    <t>Total Renewables</t>
  </si>
  <si>
    <t>Step 8: Include or exclude grid greening from your decarbonization strategy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</si>
  <si>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>: Select whether to include or exclude grid greening from your decarbonization strategy.</t>
    </r>
  </si>
  <si>
    <r>
      <t xml:space="preserve">*Please reference </t>
    </r>
    <r>
      <rPr>
        <b/>
        <sz val="11"/>
        <color theme="3"/>
        <rFont val="Arial Narrow"/>
        <family val="2"/>
        <scheme val="minor"/>
      </rPr>
      <t>Section 03.08</t>
    </r>
    <r>
      <rPr>
        <b/>
        <sz val="11"/>
        <rFont val="Arial Narrow"/>
        <family val="2"/>
        <scheme val="minor"/>
      </rPr>
      <t xml:space="preserve"> in the Playbook if additional guidance is needed.</t>
    </r>
  </si>
  <si>
    <t>Yes</t>
  </si>
  <si>
    <t>Step 9: Adjust lever percentages to meet 2035 and 2050 goal lines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</si>
  <si>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>: Revisit Steps 5-8 to adjust your lever percentages to reduce “Remaining Emissions” at or below the 2035 and 2050 goal lines.</t>
    </r>
  </si>
  <si>
    <t>Note: Your goal is to select percentages such that the remaining emissions (the large dark blue block on the bottom) are at or below the 2035 and 2050 goal lines.</t>
  </si>
  <si>
    <t>Decarbonization Pathway</t>
  </si>
  <si>
    <t>Step 10: Optimize the financial outlook for your levers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</si>
  <si>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>: Revisit Steps 5-8 to adjust your lever percentages to optimize the Required Capital and Annual Expense Impacts to be suitable for your company.</t>
    </r>
  </si>
  <si>
    <r>
      <t xml:space="preserve">*Please reference </t>
    </r>
    <r>
      <rPr>
        <b/>
        <sz val="11"/>
        <color theme="3"/>
        <rFont val="Arial Narrow"/>
        <family val="2"/>
        <scheme val="minor"/>
      </rPr>
      <t>Section 03.10</t>
    </r>
    <r>
      <rPr>
        <b/>
        <sz val="11"/>
        <rFont val="Arial Narrow"/>
        <family val="2"/>
        <scheme val="minor"/>
      </rPr>
      <t xml:space="preserve"> in the Playbook if additional guidance is needed.</t>
    </r>
  </si>
  <si>
    <t>2035 Strategy Financial Implications</t>
  </si>
  <si>
    <t>Decarbonization Lever</t>
  </si>
  <si>
    <t>Capital Investment by 2035</t>
  </si>
  <si>
    <t>Annual Expense Impact</t>
  </si>
  <si>
    <t>Likelihood of ROI</t>
  </si>
  <si>
    <t>Notes</t>
  </si>
  <si>
    <t>Figure 5: 2035 Strategy Financial Implications</t>
  </si>
  <si>
    <t>2050 Strategy Financial Implications</t>
  </si>
  <si>
    <t>Capital Investment by 2050</t>
  </si>
  <si>
    <t>Figure 6: 2050 Strategy Financial Implications</t>
  </si>
  <si>
    <t>Emission Factor &amp; GWPs</t>
  </si>
  <si>
    <t>Emission Factors</t>
  </si>
  <si>
    <t>Gas</t>
  </si>
  <si>
    <t>100-Year GWP</t>
  </si>
  <si>
    <t>Source</t>
  </si>
  <si>
    <t>kg CO2</t>
  </si>
  <si>
    <t>kg CH4</t>
  </si>
  <si>
    <t>kg N2O</t>
  </si>
  <si>
    <t>kgCO2e</t>
  </si>
  <si>
    <t>MT CO2</t>
  </si>
  <si>
    <t>MT CH4</t>
  </si>
  <si>
    <t>MT N2O</t>
  </si>
  <si>
    <t>EPA Source</t>
  </si>
  <si>
    <t>Emission Source</t>
  </si>
  <si>
    <t>Activity Source</t>
  </si>
  <si>
    <t>kWh / Unit</t>
  </si>
  <si>
    <t>mmBtu / Unit</t>
  </si>
  <si>
    <t>Cost / Unit Min</t>
  </si>
  <si>
    <t>Cost / Unit Max</t>
  </si>
  <si>
    <t>Cost Notes</t>
  </si>
  <si>
    <t>Cost Source</t>
  </si>
  <si>
    <t>CO2</t>
  </si>
  <si>
    <t>MMBtu</t>
  </si>
  <si>
    <t>CH4</t>
  </si>
  <si>
    <t>Max excludes, Hawaii and Alaska</t>
  </si>
  <si>
    <t>https://www.eia.gov/electricity/monthly/epm_table_grapher.php?t=epmt_5_6_a</t>
  </si>
  <si>
    <t>N2O</t>
  </si>
  <si>
    <t>Propane</t>
  </si>
  <si>
    <t>Standard energy conversion</t>
  </si>
  <si>
    <t>Coal prices and outlook - U.S. Energy Information Administration (EIA)</t>
  </si>
  <si>
    <t>Distillate Fuel Oil No. 2</t>
  </si>
  <si>
    <t>U.S. Kerosene Wholesale/Resale Price by Refiners (Dollars per Gallon) (eia.gov)</t>
  </si>
  <si>
    <t>Unit Conversion</t>
  </si>
  <si>
    <t>Motor Gasoline</t>
  </si>
  <si>
    <t>EPA June '24 emission factor hub</t>
  </si>
  <si>
    <t>U.S. Gasoline and Diesel Retail Prices (eia.gov)</t>
  </si>
  <si>
    <t>Original Unit</t>
  </si>
  <si>
    <t>Conversion Factor</t>
  </si>
  <si>
    <t>Standard UOM</t>
  </si>
  <si>
    <t>Conversion Source</t>
  </si>
  <si>
    <t>eGRID22 U.S. Avg.</t>
  </si>
  <si>
    <t>lbs</t>
  </si>
  <si>
    <t>Natural Gasoline  - EPA June '24 emission factor hub</t>
  </si>
  <si>
    <t>kg</t>
  </si>
  <si>
    <t>Coal Coke</t>
  </si>
  <si>
    <t>Residual Fuel Oil No. 6 - EPA June '24 emission factor hub</t>
  </si>
  <si>
    <t>Residual Fuel Oil No.5</t>
  </si>
  <si>
    <t>Crude oil - EPA June '24 emission factor hub</t>
  </si>
  <si>
    <t>Bituminous</t>
  </si>
  <si>
    <t>L</t>
  </si>
  <si>
    <t>Lignite</t>
  </si>
  <si>
    <t>Sub-bituminous</t>
  </si>
  <si>
    <t>Petroleum Coke (Solid)</t>
  </si>
  <si>
    <t>Enspire Energy» Energy Conversion Calculator</t>
  </si>
  <si>
    <t>Understanding Natural Gas Units Is Fundamental to Understanding the Gas Industry - Enerdynamics</t>
  </si>
  <si>
    <t>Trio Expert (Jeff Bolyard)</t>
  </si>
  <si>
    <t>Other Biomass Gases</t>
  </si>
  <si>
    <t>2035 Electricity (standard)</t>
  </si>
  <si>
    <t>Rebecca</t>
  </si>
  <si>
    <t>2050 Electricity (standard)</t>
  </si>
  <si>
    <t>GJ</t>
  </si>
  <si>
    <t>Convert million Btu to gallon - Conversion of Measurement Units (convertunits.com)</t>
  </si>
  <si>
    <t>M2030 Sources:</t>
  </si>
  <si>
    <t>cf</t>
  </si>
  <si>
    <t>Frequently Asked Questions (FAQs) - U.S. Energy Information Administration (EIA)</t>
  </si>
  <si>
    <t>Liquid</t>
  </si>
  <si>
    <t>Solid</t>
  </si>
  <si>
    <t>Other</t>
  </si>
  <si>
    <t>scf</t>
  </si>
  <si>
    <t>Crude oil</t>
  </si>
  <si>
    <t>Mcf</t>
  </si>
  <si>
    <t>Diesel oil</t>
  </si>
  <si>
    <t>Ccf</t>
  </si>
  <si>
    <t>Brown coal (Lignite)</t>
  </si>
  <si>
    <t>EPA Emission Hub</t>
  </si>
  <si>
    <t>Coking coal</t>
  </si>
  <si>
    <t>Residual fuel oil</t>
  </si>
  <si>
    <t>Shale oil</t>
  </si>
  <si>
    <t>M2030 Units:</t>
  </si>
  <si>
    <t>internal (can delete when done)</t>
  </si>
  <si>
    <t>kWh, MWh, MJ, GJ, TJ, kcal</t>
  </si>
  <si>
    <t>mmBtu, Therms</t>
  </si>
  <si>
    <t>Natural Gas Converter - Natural Gas Intelligence</t>
  </si>
  <si>
    <t>US Gallon, Imp. Gallon, L, ft3, m3, MCF and CCF</t>
  </si>
  <si>
    <t>cubic meter</t>
  </si>
  <si>
    <t>barrel</t>
  </si>
  <si>
    <t>- Renewable energy is in addition to what you've already purchased</t>
  </si>
  <si>
    <t>Electrification Modeling</t>
  </si>
  <si>
    <t>1. Assume the savings from electrification based on converting natural gas boiler to electric boiler</t>
  </si>
  <si>
    <t>2. "Electric boilers can reduce the boiler onsite energy demand by 16-29% in different U.S. industrial sectors in 2018."</t>
  </si>
  <si>
    <t>Source: Lawrence Berkeley National Laboratory: Electrification of Boilers in 
U.S. Manufacturing (2021)</t>
  </si>
  <si>
    <t>Data Input</t>
  </si>
  <si>
    <t>Efficiency of fossil fuel combustion boiler:</t>
  </si>
  <si>
    <t>Efficiency of electric boiler:</t>
  </si>
  <si>
    <t>COP of a heat pump</t>
  </si>
  <si>
    <t>Energy savings (in terms of GJ units) by electrifying boilers:</t>
  </si>
  <si>
    <t>Natural Gas MMBtu to GJ:</t>
  </si>
  <si>
    <t>Electricity MWh to GJ:</t>
  </si>
  <si>
    <t>Example: electrify a boiler with 1000 MMBtu of annual natural gas consumption</t>
  </si>
  <si>
    <t xml:space="preserve">Natural Gas consumption (MMBtu): </t>
  </si>
  <si>
    <t>Electricity consumption (MWh):</t>
  </si>
  <si>
    <t>Emission Savings from Natural Gas (MTCO2e):</t>
  </si>
  <si>
    <t>Emission Savings from Electricity (MTCO2e):</t>
  </si>
  <si>
    <t>Total Emission Savings (MTCO2e):</t>
  </si>
  <si>
    <t>* Although the emission savings are negative in this example, the savings will become positive once the grid greening is implemented.</t>
  </si>
  <si>
    <t>Conclusion: MWh added per MMBtu reduced:</t>
  </si>
  <si>
    <t>Considered another way:</t>
  </si>
  <si>
    <t>75% effiency means 1/0.75 = 1.333 units energy in for 1 energy unit work</t>
  </si>
  <si>
    <t>99% efficiency means 1/0.99 = 1.01 units energy in for 1 energy unit work</t>
  </si>
  <si>
    <t>1.01/1.3333 = 0.7575 is the multiplier of electrical energy needed to fossil to produce 1 unit work.</t>
  </si>
  <si>
    <t>Conclusions: The electric to gas energy efficiency mulitplier:</t>
  </si>
  <si>
    <t>3 COP means 1/3 = 0.33 units energy in for 1 energy unit work</t>
  </si>
  <si>
    <t>0.3333/1.3333 = 0.25 is the multiplier of heat pump electrical need to fossil to produce 1 unit of work</t>
  </si>
  <si>
    <t>Conclusions: The heat pump to electric multiplier:</t>
  </si>
  <si>
    <t>To convert heat pump energy from fossil multiply both factors:</t>
  </si>
  <si>
    <t>Capital Calculations:</t>
  </si>
  <si>
    <t>Source:</t>
  </si>
  <si>
    <t>Min Capital Investment Payback (years)</t>
  </si>
  <si>
    <t>Max Capital Investment Payback (years)</t>
  </si>
  <si>
    <t>Electrification:</t>
  </si>
  <si>
    <t>Annual operating hours space heating</t>
  </si>
  <si>
    <t>Trio EO team estimate</t>
  </si>
  <si>
    <t>Annual operating hours assumed (high-utilization)</t>
  </si>
  <si>
    <t>Min cost per MMBTU/h heat pumps</t>
  </si>
  <si>
    <t>Max cost per MMBTU/h heat pumps</t>
  </si>
  <si>
    <t>Min cost per MMBTU/h process</t>
  </si>
  <si>
    <t>Max cost per MMBTU/h process</t>
  </si>
  <si>
    <t>Fuel Switching:</t>
  </si>
  <si>
    <t>Min cost per MMBTU/h capacity</t>
  </si>
  <si>
    <t>Max cost per MMBTU/h capacity</t>
  </si>
  <si>
    <t>Onsite solar</t>
  </si>
  <si>
    <t>kWh Production per kW</t>
  </si>
  <si>
    <t>Selected for regionality of Honda suppliers</t>
  </si>
  <si>
    <t>Min cost per Watt</t>
  </si>
  <si>
    <t>NREL 2022</t>
  </si>
  <si>
    <t>Max cost per Watt</t>
  </si>
  <si>
    <t>Expense Calculations:</t>
  </si>
  <si>
    <t>Min Dollars per REC</t>
  </si>
  <si>
    <t>Not used in calcs</t>
  </si>
  <si>
    <t>Max Dollars per REC</t>
  </si>
  <si>
    <t>Max Dollar per REC</t>
  </si>
  <si>
    <t>Based on known 2024 programs</t>
  </si>
  <si>
    <t>Min Dollar per REC</t>
  </si>
  <si>
    <t>Trio market knowledge</t>
  </si>
  <si>
    <t>Emissions and Activity Data Output</t>
  </si>
  <si>
    <t>Description: You must project your growth rate to understand how your emissions will change as your production changes over time</t>
  </si>
  <si>
    <t>Decarbonization Lever Output</t>
  </si>
  <si>
    <t>Decarbonization Scenario(s)</t>
  </si>
  <si>
    <t>This tab provides the reductions in activity data and associated emissions for select decarbonization measures to assess goal feasibility</t>
  </si>
  <si>
    <t>Client</t>
  </si>
  <si>
    <t>Decarbonization Scenario(s) Summary</t>
  </si>
  <si>
    <t>Goal feasibility is assessed in concjuntion with a Near-Term SBT (2030) only and is limited to Scope 1 and 2 decarbonization opportunities. Decarbonization potential has not been modeled post-2030 or for Scope 3 emission sources.</t>
  </si>
  <si>
    <t>Decarbonization Measure</t>
  </si>
  <si>
    <t>Decarbonization Scenario</t>
  </si>
  <si>
    <t>Case 1</t>
  </si>
  <si>
    <t>Case 2</t>
  </si>
  <si>
    <t>1. RE Procurement</t>
  </si>
  <si>
    <t>ü</t>
  </si>
  <si>
    <t>*RE procurement is scaled to achieve remaining reductions to reach a 2030 target after EO measures are accounted for</t>
  </si>
  <si>
    <t>2. EO 'Package'</t>
  </si>
  <si>
    <t>*Packaging only</t>
  </si>
  <si>
    <t>3. Decommission RTOs</t>
  </si>
  <si>
    <t>4. Space/WH Electrification</t>
  </si>
  <si>
    <t>Goal Feasibility Summary</t>
  </si>
  <si>
    <t>Assessed in conjuction with the Near-Term SBT (Scenario 1) modeled on the Goal Scenario(s) tab</t>
  </si>
  <si>
    <t>Emissions (MT CO2e)</t>
  </si>
  <si>
    <t>Total Scope 1,2 Emissions (BAU)</t>
  </si>
  <si>
    <t>Near-Term SBT Scope 1,2</t>
  </si>
  <si>
    <t>Scope 1,2 Residual Emissions</t>
  </si>
  <si>
    <t>Additional Mitigation Required</t>
  </si>
  <si>
    <t>Investment (million $USD)</t>
  </si>
  <si>
    <t>Total Investment</t>
  </si>
  <si>
    <t>Data Source(s):</t>
  </si>
  <si>
    <t>Max RE Potential (no EO)</t>
  </si>
  <si>
    <t>Equal to total Scope 2 emissions in BAU</t>
  </si>
  <si>
    <t>Company-wide Electricity EF (MT CO2e/MWh)</t>
  </si>
  <si>
    <t>From TC inventory data provided by client (updated in March 13, 2023)</t>
  </si>
  <si>
    <t>Investment</t>
  </si>
  <si>
    <t>REC cost ($/MWh)</t>
  </si>
  <si>
    <t>Escalator</t>
  </si>
  <si>
    <t>Max RE Potential (after EO)</t>
  </si>
  <si>
    <t>Equal to total Scope 2 emissions in BAU and adjusted for EO impacts</t>
  </si>
  <si>
    <t>Additional Mitigation Required After EO</t>
  </si>
  <si>
    <t>2030 Target RE Procurement</t>
  </si>
  <si>
    <t>Scaled to level necessary to achieve near-term SBT after EO activity, but not to exceed max potential</t>
  </si>
  <si>
    <t>Scaled activity to 2030</t>
  </si>
  <si>
    <t>Assumes a linear ramp up in RE procurement year-over-year</t>
  </si>
  <si>
    <t>MWhs procured</t>
  </si>
  <si>
    <t>Estimated Investment</t>
  </si>
  <si>
    <t>Scaled RE Procurement to 2030</t>
  </si>
  <si>
    <t>Link to EO data workbook saved in sustainability folder</t>
  </si>
  <si>
    <t>Ave. Annual savings (%)</t>
  </si>
  <si>
    <t>Indicates the maximum value if scaled across the entire Packaging sector</t>
  </si>
  <si>
    <t>Natural gas</t>
  </si>
  <si>
    <t>*A negative value indicates an increase in consumption</t>
  </si>
  <si>
    <t>Electricity</t>
  </si>
  <si>
    <t>Average Investment ($/MT CO2e)</t>
  </si>
  <si>
    <t>Note: a negative value indicates a net benefit per MT CO2e (a negative cost)</t>
  </si>
  <si>
    <t>Natural gas (Packaging BAU)</t>
  </si>
  <si>
    <t>Electricity (Packaging BAU)</t>
  </si>
  <si>
    <t>2030 Target Reductions (Natural gas)</t>
  </si>
  <si>
    <t>2030 Target Reductions (Electricity)</t>
  </si>
  <si>
    <t>Scaled Reductions (Natural gas)</t>
  </si>
  <si>
    <t>Assumes a linear ramp up in implementation year-over-year</t>
  </si>
  <si>
    <t>Scaled Reductions (Electricity)</t>
  </si>
  <si>
    <t>Total Scaled Reductions</t>
  </si>
  <si>
    <t>VOCs</t>
  </si>
  <si>
    <t>N/A</t>
  </si>
  <si>
    <t>VOCs (Packaging BAU)</t>
  </si>
  <si>
    <t>2030 Target Reductions (VOCs)</t>
  </si>
  <si>
    <t>Scaled Reductions (VOCs)</t>
  </si>
  <si>
    <t>4. Space &amp; Water Heating Electrification</t>
  </si>
  <si>
    <t>Honda Decarbonization Target-Setting Tool</t>
  </si>
  <si>
    <r>
      <t xml:space="preserve">2. Following the guidance in the Decarbonization Target-Setting Action Playbook, enter the requested information in the relevant tabs to complete </t>
    </r>
    <r>
      <rPr>
        <b/>
        <sz val="11"/>
        <color theme="3"/>
        <rFont val="Arial Narrow"/>
        <family val="2"/>
        <scheme val="minor"/>
      </rPr>
      <t>Section 03</t>
    </r>
  </si>
  <si>
    <r>
      <t xml:space="preserve">3. Once complete, return to the Decarbonization Target-Setting Action Playbook to compile relevant inserts/data needed for </t>
    </r>
    <r>
      <rPr>
        <b/>
        <sz val="11"/>
        <color theme="3"/>
        <rFont val="Arial Narrow"/>
        <family val="2"/>
        <scheme val="minor"/>
      </rPr>
      <t>Section 04</t>
    </r>
    <r>
      <rPr>
        <sz val="11"/>
        <color theme="1"/>
        <rFont val="Arial Narrow"/>
        <family val="2"/>
        <scheme val="minor"/>
      </rPr>
      <t xml:space="preserve"> and </t>
    </r>
    <r>
      <rPr>
        <b/>
        <sz val="11"/>
        <color theme="3"/>
        <rFont val="Arial Narrow"/>
        <family val="2"/>
        <scheme val="minor"/>
      </rPr>
      <t>Section 05</t>
    </r>
  </si>
  <si>
    <r>
      <t>1. Enter the information requested in the '</t>
    </r>
    <r>
      <rPr>
        <sz val="11"/>
        <color theme="3"/>
        <rFont val="Arial Narrow"/>
        <family val="2"/>
        <scheme val="minor"/>
      </rPr>
      <t>General Company and Contact Information</t>
    </r>
    <r>
      <rPr>
        <sz val="11"/>
        <color theme="1"/>
        <rFont val="Arial Narrow"/>
        <family val="2"/>
        <scheme val="minor"/>
      </rPr>
      <t>' section of this tab below</t>
    </r>
  </si>
  <si>
    <r>
      <t>4. If additional support is needed as you progress through the Target-Setting Tool, reach out to the Trio team by emailing H</t>
    </r>
    <r>
      <rPr>
        <sz val="11"/>
        <color theme="3"/>
        <rFont val="Arial Narrow"/>
        <family val="2"/>
        <scheme val="minor"/>
      </rPr>
      <t>ondaGreenExcellence@trioadvisory.com</t>
    </r>
  </si>
  <si>
    <t>Example: Early discussions on VPPAs suggest we could cover 10% of our electricity for $100k annually</t>
  </si>
  <si>
    <t>Example: Bids for 3 facilities project a Capital cost of $5M with an annual electric savings of $900k</t>
  </si>
  <si>
    <t>Example: Maintenance replacements with heat pumps require $5M annually in Capital and have a positive ROI</t>
  </si>
  <si>
    <t>Example: Projects planned through 2030 will require $5M in Capital and save $1M annually in utility costs</t>
  </si>
  <si>
    <t>Figure 4b: Decarbonization Pathway Percentage Table</t>
  </si>
  <si>
    <t>Figure 4a: Decarbonization Pathway</t>
  </si>
  <si>
    <r>
      <rPr>
        <b/>
        <u/>
        <sz val="11"/>
        <rFont val="Arial Narrow"/>
        <family val="2"/>
        <scheme val="minor"/>
      </rPr>
      <t>Description</t>
    </r>
    <r>
      <rPr>
        <b/>
        <sz val="11"/>
        <rFont val="Arial Narrow"/>
        <family val="2"/>
        <scheme val="minor"/>
      </rPr>
      <t xml:space="preserve">: Revisit Steps 5-8 to adjust your lever percentages to reduce “Remaining Emissions” at or below the 2035 and 2050 goal lines. These are the percentages for each lever as showcased in Step 9. </t>
    </r>
  </si>
  <si>
    <t>Note: We've included an appendix slide in the Executive Leadership Presentation deck. Feel free to drop this table in to reference, if desired.</t>
  </si>
  <si>
    <t>c. Conservatively estimate the percentage of electricty that onsite solar will cover using the maximum % calculated as a guide</t>
  </si>
  <si>
    <t>b. Enter the percentage of fossil fuel equipment you expect to convert to electric equipment and switch to use of renewable fuels</t>
  </si>
  <si>
    <t>Disclaimer: The information provided below is intended to give guidance on the resources required for initiative implementation.</t>
  </si>
  <si>
    <t xml:space="preserve"> These costs are directional and can vary based on specific market conditions and requirements</t>
  </si>
  <si>
    <t>Efficiency</t>
  </si>
  <si>
    <t>Figure 2: Scope 1 and 2 Emissions Breakdown</t>
  </si>
  <si>
    <t>Figure 3: Scope 1 and 2 Emissions by Activity</t>
  </si>
  <si>
    <t>Enterprise Data Rollup</t>
  </si>
  <si>
    <t>Activity Data by Site</t>
  </si>
  <si>
    <t>Decarbonization Pathway Percentage Reduction</t>
  </si>
  <si>
    <t>Step 11: APPENDIX | Decarbonization pathway percentage table</t>
  </si>
  <si>
    <t>U.S. Natural Gas Liquid Composite Price (Dollars per Million Btu) (eia.gov)</t>
  </si>
  <si>
    <t>Prices for hydrocarbon gas liquids - U.S. Energy Information Administration (EIA)</t>
  </si>
  <si>
    <t>U.S. Crude Oil First Purchase Price (Dollars per Barrel) (eia.gov)</t>
  </si>
  <si>
    <t>U.S. Residual Fuel Oil Wholesale/Resale Price by Refiners (Dollars per Gallon) (eia.gov)</t>
  </si>
  <si>
    <t>Site #6</t>
  </si>
  <si>
    <t>Trio DER team estimate</t>
  </si>
  <si>
    <t>Total Baseline Emissions</t>
  </si>
  <si>
    <t>Honda Goal</t>
  </si>
  <si>
    <t>Overall Emissions</t>
  </si>
  <si>
    <t>2035 Goal Line</t>
  </si>
  <si>
    <t>2050 Goal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</si>
</sst>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&quot;$&quot;#,##0.00"/>
    <numFmt numFmtId="167" formatCode="#,##0.0000"/>
    <numFmt numFmtId="168" formatCode="&quot;$&quot;#,##0.000"/>
    <numFmt numFmtId="169" formatCode="&quot;$&quot;#,##0"/>
    <numFmt numFmtId="170" formatCode="#,##0.000000000_);\(#,##0.000000000\)"/>
  </numFmts>
  <fonts count="48" x14ac:knownFonts="1">
    <font>
      <sz val="11"/>
      <color theme="1"/>
      <name val="Arial Narrow"/>
      <family val="2"/>
      <scheme val="minor"/>
    </font>
    <font>
      <sz val="18"/>
      <color theme="1"/>
      <name val="Arial Narrow"/>
      <family val="2"/>
      <scheme val="minor"/>
    </font>
    <font>
      <sz val="11"/>
      <color theme="1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b/>
      <sz val="11"/>
      <color theme="1"/>
      <name val="Arial Narrow"/>
      <family val="2"/>
      <scheme val="minor"/>
    </font>
    <font>
      <sz val="11"/>
      <color theme="0"/>
      <name val="Arial Narrow"/>
      <family val="2"/>
      <scheme val="minor"/>
    </font>
    <font>
      <i/>
      <sz val="11"/>
      <color theme="1"/>
      <name val="Arial Narrow"/>
      <family val="2"/>
      <scheme val="minor"/>
    </font>
    <font>
      <u/>
      <sz val="11"/>
      <color theme="10"/>
      <name val="Arial Narrow"/>
      <family val="2"/>
      <scheme val="minor"/>
    </font>
    <font>
      <sz val="11"/>
      <name val="Arial Narrow"/>
      <family val="2"/>
      <scheme val="minor"/>
    </font>
    <font>
      <b/>
      <sz val="11"/>
      <color rgb="FFFFFFFF"/>
      <name val="Arial Narrow"/>
      <family val="2"/>
      <scheme val="minor"/>
    </font>
    <font>
      <sz val="8"/>
      <name val="Arial Narrow"/>
      <family val="2"/>
      <scheme val="minor"/>
    </font>
    <font>
      <sz val="12"/>
      <color theme="1"/>
      <name val="Arial Narrow"/>
      <family val="2"/>
      <scheme val="minor"/>
    </font>
    <font>
      <b/>
      <sz val="12"/>
      <color theme="0"/>
      <name val="Arial Narrow"/>
      <family val="2"/>
      <scheme val="minor"/>
    </font>
    <font>
      <u/>
      <sz val="18"/>
      <color theme="10"/>
      <name val="Arial Narrow"/>
      <family val="2"/>
      <scheme val="minor"/>
    </font>
    <font>
      <u/>
      <sz val="12"/>
      <color theme="10"/>
      <name val="Arial Narrow"/>
      <family val="2"/>
      <scheme val="minor"/>
    </font>
    <font>
      <b/>
      <sz val="22"/>
      <color theme="0"/>
      <name val="Arial Narrow"/>
      <family val="2"/>
      <scheme val="minor"/>
    </font>
    <font>
      <b/>
      <sz val="24"/>
      <color theme="0"/>
      <name val="Arial Narrow"/>
      <family val="2"/>
      <scheme val="minor"/>
    </font>
    <font>
      <b/>
      <sz val="11"/>
      <name val="Arial Narrow"/>
      <family val="2"/>
      <scheme val="minor"/>
    </font>
    <font>
      <sz val="12"/>
      <color theme="6"/>
      <name val="Arial Narrow"/>
      <family val="2"/>
      <scheme val="minor"/>
    </font>
    <font>
      <sz val="12"/>
      <color theme="7"/>
      <name val="Arial Narrow"/>
      <family val="2"/>
      <scheme val="minor"/>
    </font>
    <font>
      <b/>
      <sz val="12"/>
      <color theme="1"/>
      <name val="Arial Narrow"/>
      <family val="2"/>
      <scheme val="minor"/>
    </font>
    <font>
      <b/>
      <sz val="14"/>
      <color theme="0"/>
      <name val="Arial Narrow"/>
      <family val="2"/>
      <scheme val="minor"/>
    </font>
    <font>
      <b/>
      <sz val="11"/>
      <color theme="7"/>
      <name val="Wingdings"/>
      <charset val="2"/>
    </font>
    <font>
      <sz val="11"/>
      <color theme="3"/>
      <name val="Arial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C00000"/>
      <name val="Arial Narrow"/>
      <family val="2"/>
      <scheme val="minor"/>
    </font>
    <font>
      <b/>
      <sz val="11"/>
      <color theme="5" tint="-0.249977111117893"/>
      <name val="Arial Narrow"/>
      <family val="2"/>
      <scheme val="minor"/>
    </font>
    <font>
      <b/>
      <i/>
      <sz val="11"/>
      <color theme="5" tint="-0.249977111117893"/>
      <name val="Arial Narrow"/>
      <family val="2"/>
      <scheme val="minor"/>
    </font>
    <font>
      <b/>
      <u/>
      <sz val="11"/>
      <name val="Arial Narrow"/>
      <family val="2"/>
      <scheme val="minor"/>
    </font>
    <font>
      <b/>
      <sz val="11"/>
      <color theme="3"/>
      <name val="Arial Narrow"/>
      <family val="2"/>
      <scheme val="minor"/>
    </font>
    <font>
      <b/>
      <i/>
      <sz val="11"/>
      <color theme="1"/>
      <name val="Arial Narrow"/>
      <family val="2"/>
      <scheme val="minor"/>
    </font>
    <font>
      <b/>
      <sz val="11"/>
      <color theme="5"/>
      <name val="Arial Narrow"/>
      <family val="2"/>
      <scheme val="minor"/>
    </font>
    <font>
      <b/>
      <u/>
      <sz val="11"/>
      <color theme="3"/>
      <name val="Arial Narrow"/>
      <family val="2"/>
      <scheme val="minor"/>
    </font>
    <font>
      <b/>
      <sz val="16"/>
      <color theme="0"/>
      <name val="Arial Narrow"/>
      <family val="2"/>
      <scheme val="minor"/>
    </font>
    <font>
      <b/>
      <sz val="16"/>
      <name val="Arial Narrow"/>
      <family val="2"/>
      <scheme val="minor"/>
    </font>
    <font>
      <sz val="16"/>
      <color theme="1"/>
      <name val="Arial Narrow"/>
      <family val="2"/>
      <scheme val="minor"/>
    </font>
    <font>
      <b/>
      <i/>
      <sz val="16"/>
      <color theme="1"/>
      <name val="Arial Narrow"/>
      <family val="2"/>
      <scheme val="minor"/>
    </font>
    <font>
      <b/>
      <sz val="20"/>
      <color theme="4"/>
      <name val="Arial Narrow"/>
      <family val="2"/>
      <scheme val="minor"/>
    </font>
    <font>
      <b/>
      <sz val="12"/>
      <color theme="3"/>
      <name val="Arial Narrow"/>
      <family val="2"/>
      <scheme val="minor"/>
    </font>
    <font>
      <b/>
      <i/>
      <u/>
      <sz val="11"/>
      <color theme="5"/>
      <name val="Arial Narrow"/>
      <family val="2"/>
      <scheme val="minor"/>
    </font>
    <font>
      <b/>
      <sz val="18"/>
      <color theme="1"/>
      <name val="Arial Narrow"/>
      <family val="2"/>
      <scheme val="minor"/>
    </font>
    <font>
      <b/>
      <sz val="14"/>
      <color theme="1"/>
      <name val="Arial Narrow"/>
      <family val="2"/>
      <scheme val="minor"/>
    </font>
    <font>
      <sz val="14"/>
      <color theme="1"/>
      <name val="Arial Narrow"/>
      <family val="2"/>
      <scheme val="minor"/>
    </font>
    <font>
      <sz val="14"/>
      <color theme="0"/>
      <name val="Arial Narrow"/>
      <family val="2"/>
      <scheme val="minor"/>
    </font>
    <font>
      <b/>
      <i/>
      <sz val="12"/>
      <color theme="3"/>
      <name val="Arial Narrow"/>
      <family val="2"/>
      <scheme val="minor"/>
    </font>
    <font>
      <b/>
      <i/>
      <sz val="11"/>
      <color theme="5"/>
      <name val="Arial Narrow"/>
      <family val="2"/>
      <scheme val="minor"/>
    </font>
    <font>
      <b/>
      <sz val="11"/>
      <color rgb="FFCC3300"/>
      <name val="Arial Narrow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theme="1" tint="0.39997558519241921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1" tint="0.39997558519241921"/>
        <bgColor indexed="64"/>
      </patternFill>
    </fill>
    <fill>
      <patternFill patternType="solid">
        <fgColor theme="4" tint="0.8999908444471571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rgb="FF000000"/>
      </patternFill>
    </fill>
    <fill>
      <patternFill patternType="solid">
        <fgColor theme="1" tint="0.59996337778862885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3" tint="0.89999084444715716"/>
        <bgColor theme="5" tint="0.79998168889431442"/>
      </patternFill>
    </fill>
    <fill>
      <patternFill patternType="solid">
        <fgColor theme="1" tint="0.79998168889431442"/>
        <bgColor theme="5" tint="0.79998168889431442"/>
      </patternFill>
    </fill>
    <fill>
      <patternFill patternType="solid">
        <fgColor theme="1"/>
        <bgColor theme="5" tint="0.79998168889431442"/>
      </patternFill>
    </fill>
    <fill>
      <patternFill patternType="solid">
        <fgColor theme="6" tint="0.79998168889431442"/>
        <bgColor theme="5" tint="0.79998168889431442"/>
      </patternFill>
    </fill>
    <fill>
      <patternFill patternType="solid">
        <fgColor theme="6" tint="0.39997558519241921"/>
        <bgColor theme="5" tint="0.79998168889431442"/>
      </patternFill>
    </fill>
    <fill>
      <patternFill patternType="solid">
        <fgColor theme="1" tint="-0.249977111117893"/>
        <bgColor theme="5" tint="0.79998168889431442"/>
      </patternFill>
    </fill>
    <fill>
      <patternFill patternType="solid">
        <fgColor theme="3"/>
        <bgColor theme="5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6E864A"/>
        <bgColor indexed="64"/>
      </patternFill>
    </fill>
    <fill>
      <patternFill patternType="solid">
        <fgColor rgb="FF354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91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3" borderId="0" xfId="0" applyFill="1"/>
    <xf numFmtId="0" fontId="6" fillId="3" borderId="0" xfId="0" applyFont="1" applyFill="1"/>
    <xf numFmtId="0" fontId="3" fillId="4" borderId="0" xfId="0" applyFont="1" applyFill="1"/>
    <xf numFmtId="0" fontId="5" fillId="4" borderId="0" xfId="0" applyFont="1" applyFill="1"/>
    <xf numFmtId="0" fontId="4" fillId="3" borderId="0" xfId="0" applyFont="1" applyFill="1"/>
    <xf numFmtId="10" fontId="0" fillId="3" borderId="0" xfId="1" applyNumberFormat="1" applyFont="1" applyFill="1"/>
    <xf numFmtId="0" fontId="7" fillId="3" borderId="0" xfId="2" applyFill="1"/>
    <xf numFmtId="2" fontId="0" fillId="3" borderId="0" xfId="0" applyNumberFormat="1" applyFill="1"/>
    <xf numFmtId="3" fontId="0" fillId="3" borderId="0" xfId="0" applyNumberFormat="1" applyFill="1"/>
    <xf numFmtId="3" fontId="8" fillId="3" borderId="0" xfId="0" applyNumberFormat="1" applyFont="1" applyFill="1"/>
    <xf numFmtId="0" fontId="0" fillId="3" borderId="0" xfId="0" applyFill="1" applyAlignment="1">
      <alignment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9" fontId="0" fillId="14" borderId="6" xfId="1" applyFont="1" applyFill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9" fontId="11" fillId="0" borderId="0" xfId="5" applyFont="1" applyAlignment="1">
      <alignment horizontal="center"/>
    </xf>
    <xf numFmtId="0" fontId="7" fillId="0" borderId="0" xfId="2"/>
    <xf numFmtId="0" fontId="14" fillId="0" borderId="0" xfId="2" applyFont="1" applyFill="1"/>
    <xf numFmtId="0" fontId="12" fillId="15" borderId="0" xfId="3" applyFont="1" applyFill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/>
    </xf>
    <xf numFmtId="9" fontId="0" fillId="0" borderId="0" xfId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10" borderId="8" xfId="0" applyFill="1" applyBorder="1" applyAlignment="1">
      <alignment horizontal="center"/>
    </xf>
    <xf numFmtId="10" fontId="0" fillId="10" borderId="8" xfId="1" applyNumberFormat="1" applyFont="1" applyFill="1" applyBorder="1" applyAlignment="1">
      <alignment horizontal="center"/>
    </xf>
    <xf numFmtId="0" fontId="11" fillId="0" borderId="17" xfId="3" applyFont="1" applyBorder="1"/>
    <xf numFmtId="0" fontId="11" fillId="0" borderId="16" xfId="3" applyFont="1" applyBorder="1"/>
    <xf numFmtId="0" fontId="7" fillId="0" borderId="17" xfId="2" applyFill="1" applyBorder="1"/>
    <xf numFmtId="0" fontId="15" fillId="2" borderId="0" xfId="0" applyFont="1" applyFill="1" applyAlignment="1">
      <alignment vertical="center"/>
    </xf>
    <xf numFmtId="0" fontId="3" fillId="18" borderId="3" xfId="0" applyFont="1" applyFill="1" applyBorder="1"/>
    <xf numFmtId="0" fontId="3" fillId="18" borderId="1" xfId="0" applyFont="1" applyFill="1" applyBorder="1"/>
    <xf numFmtId="0" fontId="3" fillId="18" borderId="5" xfId="0" applyFont="1" applyFill="1" applyBorder="1"/>
    <xf numFmtId="0" fontId="3" fillId="17" borderId="1" xfId="0" applyFont="1" applyFill="1" applyBorder="1"/>
    <xf numFmtId="0" fontId="3" fillId="17" borderId="7" xfId="0" applyFont="1" applyFill="1" applyBorder="1"/>
    <xf numFmtId="0" fontId="3" fillId="0" borderId="18" xfId="0" applyFont="1" applyBorder="1" applyAlignment="1">
      <alignment horizontal="center" vertical="center" wrapText="1"/>
    </xf>
    <xf numFmtId="0" fontId="4" fillId="20" borderId="10" xfId="0" applyFont="1" applyFill="1" applyBorder="1"/>
    <xf numFmtId="0" fontId="3" fillId="0" borderId="0" xfId="0" applyFont="1"/>
    <xf numFmtId="0" fontId="5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3" fontId="0" fillId="8" borderId="8" xfId="0" applyNumberFormat="1" applyFill="1" applyBorder="1" applyAlignment="1">
      <alignment horizontal="left" vertical="center"/>
    </xf>
    <xf numFmtId="164" fontId="0" fillId="0" borderId="2" xfId="7" applyNumberFormat="1" applyFont="1" applyBorder="1" applyAlignment="1">
      <alignment horizontal="left" vertical="center"/>
    </xf>
    <xf numFmtId="164" fontId="0" fillId="9" borderId="2" xfId="7" applyNumberFormat="1" applyFont="1" applyFill="1" applyBorder="1" applyAlignment="1">
      <alignment horizontal="left" vertical="center"/>
    </xf>
    <xf numFmtId="164" fontId="0" fillId="9" borderId="10" xfId="7" applyNumberFormat="1" applyFont="1" applyFill="1" applyBorder="1" applyAlignment="1">
      <alignment horizontal="left" vertical="center"/>
    </xf>
    <xf numFmtId="164" fontId="0" fillId="0" borderId="8" xfId="7" applyNumberFormat="1" applyFont="1" applyBorder="1" applyAlignment="1">
      <alignment horizontal="left" vertical="center"/>
    </xf>
    <xf numFmtId="164" fontId="0" fillId="9" borderId="8" xfId="7" applyNumberFormat="1" applyFont="1" applyFill="1" applyBorder="1" applyAlignment="1">
      <alignment horizontal="left" vertical="center"/>
    </xf>
    <xf numFmtId="164" fontId="0" fillId="9" borderId="12" xfId="7" applyNumberFormat="1" applyFont="1" applyFill="1" applyBorder="1" applyAlignment="1">
      <alignment horizontal="left" vertical="center"/>
    </xf>
    <xf numFmtId="164" fontId="0" fillId="0" borderId="6" xfId="7" applyNumberFormat="1" applyFont="1" applyBorder="1" applyAlignment="1">
      <alignment horizontal="left" vertical="center"/>
    </xf>
    <xf numFmtId="164" fontId="0" fillId="9" borderId="6" xfId="7" applyNumberFormat="1" applyFont="1" applyFill="1" applyBorder="1" applyAlignment="1">
      <alignment horizontal="left" vertical="center"/>
    </xf>
    <xf numFmtId="164" fontId="0" fillId="9" borderId="11" xfId="7" applyNumberFormat="1" applyFont="1" applyFill="1" applyBorder="1" applyAlignment="1">
      <alignment horizontal="left" vertical="center"/>
    </xf>
    <xf numFmtId="164" fontId="0" fillId="3" borderId="8" xfId="7" applyNumberFormat="1" applyFont="1" applyFill="1" applyBorder="1" applyAlignment="1">
      <alignment horizontal="left" vertical="center"/>
    </xf>
    <xf numFmtId="164" fontId="0" fillId="3" borderId="2" xfId="7" applyNumberFormat="1" applyFont="1" applyFill="1" applyBorder="1" applyAlignment="1">
      <alignment horizontal="left" vertical="center"/>
    </xf>
    <xf numFmtId="164" fontId="0" fillId="3" borderId="6" xfId="7" applyNumberFormat="1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5" borderId="3" xfId="0" applyFont="1" applyFill="1" applyBorder="1"/>
    <xf numFmtId="0" fontId="4" fillId="8" borderId="9" xfId="0" applyFont="1" applyFill="1" applyBorder="1"/>
    <xf numFmtId="0" fontId="3" fillId="5" borderId="5" xfId="0" applyFont="1" applyFill="1" applyBorder="1"/>
    <xf numFmtId="10" fontId="4" fillId="8" borderId="11" xfId="0" applyNumberFormat="1" applyFont="1" applyFill="1" applyBorder="1"/>
    <xf numFmtId="0" fontId="4" fillId="8" borderId="7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3" fillId="25" borderId="6" xfId="0" applyFont="1" applyFill="1" applyBorder="1" applyAlignment="1">
      <alignment horizontal="center" vertical="center" wrapText="1"/>
    </xf>
    <xf numFmtId="0" fontId="3" fillId="25" borderId="11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/>
    </xf>
    <xf numFmtId="0" fontId="0" fillId="26" borderId="7" xfId="0" applyFill="1" applyBorder="1" applyAlignment="1">
      <alignment horizontal="center" vertical="center"/>
    </xf>
    <xf numFmtId="0" fontId="4" fillId="24" borderId="5" xfId="0" applyFont="1" applyFill="1" applyBorder="1" applyAlignment="1">
      <alignment horizontal="center" vertical="center"/>
    </xf>
    <xf numFmtId="0" fontId="0" fillId="24" borderId="6" xfId="0" applyFill="1" applyBorder="1" applyAlignment="1">
      <alignment horizontal="center"/>
    </xf>
    <xf numFmtId="10" fontId="0" fillId="24" borderId="6" xfId="1" applyNumberFormat="1" applyFont="1" applyFill="1" applyBorder="1" applyAlignment="1">
      <alignment horizontal="center"/>
    </xf>
    <xf numFmtId="10" fontId="0" fillId="24" borderId="11" xfId="1" applyNumberFormat="1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 vertical="center"/>
    </xf>
    <xf numFmtId="10" fontId="0" fillId="10" borderId="12" xfId="1" applyNumberFormat="1" applyFont="1" applyFill="1" applyBorder="1" applyAlignment="1">
      <alignment horizontal="center"/>
    </xf>
    <xf numFmtId="0" fontId="0" fillId="26" borderId="5" xfId="0" applyFill="1" applyBorder="1" applyAlignment="1">
      <alignment horizontal="center" vertical="center"/>
    </xf>
    <xf numFmtId="0" fontId="0" fillId="26" borderId="6" xfId="0" applyFill="1" applyBorder="1" applyAlignment="1">
      <alignment horizontal="center" vertical="center"/>
    </xf>
    <xf numFmtId="10" fontId="0" fillId="26" borderId="6" xfId="0" applyNumberFormat="1" applyFill="1" applyBorder="1" applyAlignment="1">
      <alignment horizontal="center" vertical="center"/>
    </xf>
    <xf numFmtId="3" fontId="0" fillId="26" borderId="6" xfId="0" applyNumberFormat="1" applyFill="1" applyBorder="1" applyAlignment="1">
      <alignment horizontal="right" vertical="center"/>
    </xf>
    <xf numFmtId="0" fontId="0" fillId="14" borderId="8" xfId="0" applyFill="1" applyBorder="1" applyAlignment="1">
      <alignment horizontal="center" vertical="center"/>
    </xf>
    <xf numFmtId="10" fontId="0" fillId="14" borderId="8" xfId="0" applyNumberFormat="1" applyFill="1" applyBorder="1" applyAlignment="1">
      <alignment horizontal="center" vertical="center"/>
    </xf>
    <xf numFmtId="3" fontId="0" fillId="14" borderId="8" xfId="0" applyNumberFormat="1" applyFill="1" applyBorder="1" applyAlignment="1">
      <alignment horizontal="right" vertical="center"/>
    </xf>
    <xf numFmtId="3" fontId="0" fillId="22" borderId="8" xfId="0" applyNumberFormat="1" applyFill="1" applyBorder="1" applyAlignment="1">
      <alignment horizontal="right" vertical="center"/>
    </xf>
    <xf numFmtId="3" fontId="0" fillId="22" borderId="12" xfId="0" applyNumberFormat="1" applyFill="1" applyBorder="1" applyAlignment="1">
      <alignment horizontal="right" vertical="center"/>
    </xf>
    <xf numFmtId="0" fontId="9" fillId="12" borderId="14" xfId="0" applyFont="1" applyFill="1" applyBorder="1" applyAlignment="1">
      <alignment horizontal="center" vertical="center" wrapText="1"/>
    </xf>
    <xf numFmtId="10" fontId="0" fillId="13" borderId="6" xfId="0" applyNumberFormat="1" applyFill="1" applyBorder="1" applyAlignment="1">
      <alignment horizontal="center" vertical="center"/>
    </xf>
    <xf numFmtId="0" fontId="0" fillId="23" borderId="8" xfId="0" applyFill="1" applyBorder="1"/>
    <xf numFmtId="0" fontId="0" fillId="23" borderId="12" xfId="0" applyFill="1" applyBorder="1"/>
    <xf numFmtId="9" fontId="0" fillId="22" borderId="6" xfId="1" applyFont="1" applyFill="1" applyBorder="1" applyAlignment="1">
      <alignment horizontal="right" vertical="center"/>
    </xf>
    <xf numFmtId="0" fontId="0" fillId="23" borderId="6" xfId="0" applyFill="1" applyBorder="1"/>
    <xf numFmtId="0" fontId="0" fillId="23" borderId="11" xfId="0" applyFill="1" applyBorder="1"/>
    <xf numFmtId="0" fontId="0" fillId="14" borderId="5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 wrapText="1"/>
    </xf>
    <xf numFmtId="0" fontId="0" fillId="26" borderId="8" xfId="0" applyFill="1" applyBorder="1" applyAlignment="1">
      <alignment horizontal="center" vertical="center"/>
    </xf>
    <xf numFmtId="0" fontId="0" fillId="26" borderId="6" xfId="0" applyFill="1" applyBorder="1" applyAlignment="1">
      <alignment horizontal="center" vertical="center" wrapText="1"/>
    </xf>
    <xf numFmtId="10" fontId="0" fillId="26" borderId="8" xfId="0" applyNumberFormat="1" applyFill="1" applyBorder="1" applyAlignment="1">
      <alignment horizontal="center" vertical="center"/>
    </xf>
    <xf numFmtId="3" fontId="0" fillId="26" borderId="8" xfId="0" applyNumberFormat="1" applyFill="1" applyBorder="1" applyAlignment="1">
      <alignment horizontal="right" vertical="center"/>
    </xf>
    <xf numFmtId="3" fontId="0" fillId="26" borderId="12" xfId="0" applyNumberFormat="1" applyFill="1" applyBorder="1" applyAlignment="1">
      <alignment horizontal="right" vertical="center"/>
    </xf>
    <xf numFmtId="9" fontId="0" fillId="26" borderId="6" xfId="1" applyFont="1" applyFill="1" applyBorder="1" applyAlignment="1">
      <alignment horizontal="right" vertical="center"/>
    </xf>
    <xf numFmtId="9" fontId="0" fillId="26" borderId="11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6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43" fontId="4" fillId="0" borderId="0" xfId="7" applyFont="1" applyFill="1" applyBorder="1"/>
    <xf numFmtId="2" fontId="4" fillId="0" borderId="0" xfId="0" applyNumberFormat="1" applyFont="1" applyAlignment="1">
      <alignment horizontal="right"/>
    </xf>
    <xf numFmtId="0" fontId="0" fillId="4" borderId="0" xfId="0" applyFill="1"/>
    <xf numFmtId="165" fontId="0" fillId="0" borderId="0" xfId="7" applyNumberFormat="1" applyFont="1"/>
    <xf numFmtId="0" fontId="7" fillId="0" borderId="0" xfId="2" applyFill="1"/>
    <xf numFmtId="0" fontId="3" fillId="18" borderId="7" xfId="0" applyFont="1" applyFill="1" applyBorder="1"/>
    <xf numFmtId="0" fontId="4" fillId="20" borderId="11" xfId="0" applyFont="1" applyFill="1" applyBorder="1"/>
    <xf numFmtId="0" fontId="4" fillId="20" borderId="9" xfId="0" applyFont="1" applyFill="1" applyBorder="1" applyAlignment="1">
      <alignment horizontal="center"/>
    </xf>
    <xf numFmtId="0" fontId="4" fillId="20" borderId="12" xfId="0" applyFont="1" applyFill="1" applyBorder="1" applyAlignment="1">
      <alignment horizontal="center"/>
    </xf>
    <xf numFmtId="0" fontId="11" fillId="0" borderId="0" xfId="0" applyFont="1"/>
    <xf numFmtId="0" fontId="11" fillId="0" borderId="20" xfId="3" applyFont="1" applyBorder="1"/>
    <xf numFmtId="0" fontId="11" fillId="0" borderId="21" xfId="3" applyFont="1" applyBorder="1"/>
    <xf numFmtId="0" fontId="11" fillId="0" borderId="25" xfId="3" applyFont="1" applyBorder="1"/>
    <xf numFmtId="0" fontId="11" fillId="0" borderId="26" xfId="3" applyFont="1" applyBorder="1"/>
    <xf numFmtId="0" fontId="18" fillId="0" borderId="0" xfId="3" applyFont="1"/>
    <xf numFmtId="0" fontId="18" fillId="0" borderId="0" xfId="0" applyFont="1"/>
    <xf numFmtId="0" fontId="11" fillId="27" borderId="0" xfId="0" applyFont="1" applyFill="1"/>
    <xf numFmtId="0" fontId="11" fillId="0" borderId="27" xfId="3" applyFont="1" applyBorder="1"/>
    <xf numFmtId="0" fontId="11" fillId="0" borderId="28" xfId="3" applyFont="1" applyBorder="1"/>
    <xf numFmtId="0" fontId="11" fillId="0" borderId="29" xfId="3" applyFont="1" applyBorder="1"/>
    <xf numFmtId="0" fontId="20" fillId="0" borderId="19" xfId="3" applyFont="1" applyBorder="1"/>
    <xf numFmtId="0" fontId="18" fillId="0" borderId="25" xfId="3" applyFont="1" applyBorder="1"/>
    <xf numFmtId="0" fontId="18" fillId="0" borderId="25" xfId="0" applyFont="1" applyBorder="1"/>
    <xf numFmtId="0" fontId="19" fillId="0" borderId="25" xfId="3" applyFont="1" applyBorder="1"/>
    <xf numFmtId="0" fontId="20" fillId="0" borderId="25" xfId="3" applyFont="1" applyBorder="1"/>
    <xf numFmtId="0" fontId="6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 indent="7"/>
    </xf>
    <xf numFmtId="0" fontId="4" fillId="3" borderId="30" xfId="0" applyFont="1" applyFill="1" applyBorder="1"/>
    <xf numFmtId="0" fontId="4" fillId="9" borderId="34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left" vertical="center"/>
    </xf>
    <xf numFmtId="0" fontId="22" fillId="3" borderId="36" xfId="0" applyFont="1" applyFill="1" applyBorder="1" applyAlignment="1">
      <alignment horizontal="center"/>
    </xf>
    <xf numFmtId="0" fontId="22" fillId="3" borderId="37" xfId="0" applyFont="1" applyFill="1" applyBorder="1" applyAlignment="1">
      <alignment horizontal="center"/>
    </xf>
    <xf numFmtId="0" fontId="0" fillId="3" borderId="38" xfId="0" applyFill="1" applyBorder="1" applyAlignment="1">
      <alignment horizontal="left" vertical="center" wrapText="1"/>
    </xf>
    <xf numFmtId="0" fontId="22" fillId="3" borderId="39" xfId="0" applyFont="1" applyFill="1" applyBorder="1" applyAlignment="1">
      <alignment horizontal="center"/>
    </xf>
    <xf numFmtId="0" fontId="22" fillId="3" borderId="4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33" xfId="0" applyFill="1" applyBorder="1" applyAlignment="1">
      <alignment horizontal="left" vertical="center" wrapText="1"/>
    </xf>
    <xf numFmtId="0" fontId="22" fillId="3" borderId="3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3" fillId="28" borderId="0" xfId="0" applyFont="1" applyFill="1"/>
    <xf numFmtId="0" fontId="5" fillId="28" borderId="0" xfId="0" applyFont="1" applyFill="1"/>
    <xf numFmtId="0" fontId="3" fillId="5" borderId="30" xfId="0" applyFont="1" applyFill="1" applyBorder="1"/>
    <xf numFmtId="0" fontId="3" fillId="5" borderId="41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3" fillId="7" borderId="43" xfId="0" applyFont="1" applyFill="1" applyBorder="1" applyAlignment="1">
      <alignment horizontal="center"/>
    </xf>
    <xf numFmtId="0" fontId="0" fillId="3" borderId="31" xfId="0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3" fontId="0" fillId="3" borderId="9" xfId="0" applyNumberFormat="1" applyFill="1" applyBorder="1"/>
    <xf numFmtId="0" fontId="0" fillId="3" borderId="38" xfId="0" applyFill="1" applyBorder="1"/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10" xfId="0" applyNumberFormat="1" applyFill="1" applyBorder="1"/>
    <xf numFmtId="0" fontId="0" fillId="3" borderId="33" xfId="0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3" fontId="0" fillId="3" borderId="11" xfId="0" applyNumberFormat="1" applyFill="1" applyBorder="1"/>
    <xf numFmtId="0" fontId="0" fillId="3" borderId="31" xfId="0" applyFill="1" applyBorder="1" applyAlignment="1">
      <alignment horizontal="left" vertical="center"/>
    </xf>
    <xf numFmtId="9" fontId="0" fillId="3" borderId="0" xfId="1" applyFont="1" applyFill="1"/>
    <xf numFmtId="0" fontId="0" fillId="0" borderId="38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3" borderId="30" xfId="0" applyFill="1" applyBorder="1"/>
    <xf numFmtId="3" fontId="0" fillId="3" borderId="13" xfId="0" applyNumberFormat="1" applyFill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166" fontId="0" fillId="3" borderId="3" xfId="0" applyNumberFormat="1" applyFill="1" applyBorder="1"/>
    <xf numFmtId="166" fontId="0" fillId="3" borderId="4" xfId="0" applyNumberFormat="1" applyFill="1" applyBorder="1"/>
    <xf numFmtId="166" fontId="0" fillId="3" borderId="9" xfId="0" applyNumberFormat="1" applyFill="1" applyBorder="1"/>
    <xf numFmtId="166" fontId="0" fillId="3" borderId="1" xfId="0" applyNumberFormat="1" applyFill="1" applyBorder="1"/>
    <xf numFmtId="166" fontId="0" fillId="3" borderId="2" xfId="0" applyNumberFormat="1" applyFill="1" applyBorder="1"/>
    <xf numFmtId="166" fontId="0" fillId="3" borderId="10" xfId="0" applyNumberFormat="1" applyFill="1" applyBorder="1"/>
    <xf numFmtId="166" fontId="0" fillId="3" borderId="1" xfId="0" applyNumberFormat="1" applyFill="1" applyBorder="1" applyAlignment="1">
      <alignment horizontal="right"/>
    </xf>
    <xf numFmtId="166" fontId="0" fillId="3" borderId="2" xfId="0" applyNumberFormat="1" applyFill="1" applyBorder="1" applyAlignment="1">
      <alignment horizontal="right"/>
    </xf>
    <xf numFmtId="166" fontId="0" fillId="3" borderId="10" xfId="0" applyNumberFormat="1" applyFill="1" applyBorder="1" applyAlignment="1">
      <alignment horizontal="right"/>
    </xf>
    <xf numFmtId="166" fontId="0" fillId="3" borderId="5" xfId="0" applyNumberFormat="1" applyFill="1" applyBorder="1"/>
    <xf numFmtId="166" fontId="0" fillId="3" borderId="6" xfId="0" applyNumberFormat="1" applyFill="1" applyBorder="1"/>
    <xf numFmtId="166" fontId="0" fillId="3" borderId="11" xfId="0" applyNumberFormat="1" applyFill="1" applyBorder="1"/>
    <xf numFmtId="0" fontId="4" fillId="9" borderId="30" xfId="0" applyFont="1" applyFill="1" applyBorder="1"/>
    <xf numFmtId="166" fontId="0" fillId="9" borderId="13" xfId="0" applyNumberFormat="1" applyFill="1" applyBorder="1"/>
    <xf numFmtId="166" fontId="0" fillId="9" borderId="14" xfId="0" applyNumberFormat="1" applyFill="1" applyBorder="1"/>
    <xf numFmtId="166" fontId="0" fillId="9" borderId="15" xfId="0" applyNumberFormat="1" applyFill="1" applyBorder="1"/>
    <xf numFmtId="0" fontId="9" fillId="11" borderId="30" xfId="0" applyFont="1" applyFill="1" applyBorder="1" applyAlignment="1">
      <alignment horizontal="left" vertical="center" wrapText="1"/>
    </xf>
    <xf numFmtId="0" fontId="9" fillId="11" borderId="44" xfId="0" applyFont="1" applyFill="1" applyBorder="1" applyAlignment="1">
      <alignment horizontal="center" vertical="center" wrapText="1"/>
    </xf>
    <xf numFmtId="0" fontId="9" fillId="29" borderId="15" xfId="0" applyFont="1" applyFill="1" applyBorder="1" applyAlignment="1">
      <alignment horizontal="center" vertical="center" wrapText="1"/>
    </xf>
    <xf numFmtId="0" fontId="0" fillId="30" borderId="45" xfId="0" applyFill="1" applyBorder="1" applyAlignment="1">
      <alignment horizontal="left" vertical="center"/>
    </xf>
    <xf numFmtId="3" fontId="0" fillId="30" borderId="46" xfId="0" applyNumberFormat="1" applyFill="1" applyBorder="1" applyAlignment="1">
      <alignment horizontal="right" vertical="center"/>
    </xf>
    <xf numFmtId="3" fontId="0" fillId="30" borderId="14" xfId="0" applyNumberFormat="1" applyFill="1" applyBorder="1" applyAlignment="1">
      <alignment horizontal="right" vertical="center"/>
    </xf>
    <xf numFmtId="3" fontId="0" fillId="30" borderId="15" xfId="0" applyNumberFormat="1" applyFill="1" applyBorder="1" applyAlignment="1">
      <alignment horizontal="right" vertical="center"/>
    </xf>
    <xf numFmtId="0" fontId="0" fillId="6" borderId="30" xfId="0" applyFill="1" applyBorder="1" applyAlignment="1">
      <alignment wrapText="1"/>
    </xf>
    <xf numFmtId="167" fontId="0" fillId="6" borderId="30" xfId="1" applyNumberFormat="1" applyFont="1" applyFill="1" applyBorder="1" applyAlignment="1">
      <alignment wrapText="1"/>
    </xf>
    <xf numFmtId="0" fontId="6" fillId="3" borderId="0" xfId="0" applyFont="1" applyFill="1" applyAlignment="1">
      <alignment vertical="top"/>
    </xf>
    <xf numFmtId="0" fontId="0" fillId="6" borderId="31" xfId="0" applyFill="1" applyBorder="1" applyAlignment="1">
      <alignment horizontal="left"/>
    </xf>
    <xf numFmtId="166" fontId="0" fillId="3" borderId="3" xfId="0" applyNumberFormat="1" applyFill="1" applyBorder="1" applyAlignment="1">
      <alignment horizontal="right"/>
    </xf>
    <xf numFmtId="166" fontId="0" fillId="3" borderId="4" xfId="0" applyNumberFormat="1" applyFill="1" applyBorder="1" applyAlignment="1">
      <alignment horizontal="right"/>
    </xf>
    <xf numFmtId="166" fontId="0" fillId="3" borderId="9" xfId="0" applyNumberFormat="1" applyFill="1" applyBorder="1" applyAlignment="1">
      <alignment horizontal="right"/>
    </xf>
    <xf numFmtId="0" fontId="0" fillId="6" borderId="33" xfId="0" applyFill="1" applyBorder="1" applyAlignment="1">
      <alignment horizontal="left"/>
    </xf>
    <xf numFmtId="10" fontId="0" fillId="3" borderId="5" xfId="1" applyNumberFormat="1" applyFont="1" applyFill="1" applyBorder="1" applyAlignment="1">
      <alignment horizontal="right"/>
    </xf>
    <xf numFmtId="10" fontId="0" fillId="3" borderId="6" xfId="1" applyNumberFormat="1" applyFont="1" applyFill="1" applyBorder="1" applyAlignment="1">
      <alignment horizontal="right"/>
    </xf>
    <xf numFmtId="10" fontId="0" fillId="3" borderId="11" xfId="1" applyNumberFormat="1" applyFont="1" applyFill="1" applyBorder="1" applyAlignment="1">
      <alignment horizontal="right"/>
    </xf>
    <xf numFmtId="166" fontId="0" fillId="3" borderId="0" xfId="0" applyNumberFormat="1" applyFill="1"/>
    <xf numFmtId="0" fontId="0" fillId="0" borderId="45" xfId="0" applyBorder="1" applyAlignment="1">
      <alignment horizontal="left" vertical="center"/>
    </xf>
    <xf numFmtId="0" fontId="0" fillId="3" borderId="31" xfId="0" applyFill="1" applyBorder="1" applyAlignment="1">
      <alignment horizontal="left"/>
    </xf>
    <xf numFmtId="3" fontId="6" fillId="3" borderId="0" xfId="0" applyNumberFormat="1" applyFont="1" applyFill="1"/>
    <xf numFmtId="3" fontId="0" fillId="31" borderId="47" xfId="0" applyNumberFormat="1" applyFill="1" applyBorder="1" applyAlignment="1">
      <alignment horizontal="right"/>
    </xf>
    <xf numFmtId="3" fontId="0" fillId="31" borderId="48" xfId="0" applyNumberFormat="1" applyFill="1" applyBorder="1" applyAlignment="1">
      <alignment horizontal="right"/>
    </xf>
    <xf numFmtId="3" fontId="4" fillId="10" borderId="30" xfId="0" applyNumberFormat="1" applyFont="1" applyFill="1" applyBorder="1" applyAlignment="1">
      <alignment horizontal="right"/>
    </xf>
    <xf numFmtId="0" fontId="0" fillId="3" borderId="33" xfId="0" applyFill="1" applyBorder="1" applyAlignment="1">
      <alignment horizontal="left"/>
    </xf>
    <xf numFmtId="3" fontId="0" fillId="31" borderId="49" xfId="0" applyNumberFormat="1" applyFill="1" applyBorder="1" applyAlignment="1">
      <alignment horizontal="right"/>
    </xf>
    <xf numFmtId="3" fontId="0" fillId="31" borderId="34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3" borderId="50" xfId="0" applyNumberFormat="1" applyFill="1" applyBorder="1" applyAlignment="1">
      <alignment horizontal="right"/>
    </xf>
    <xf numFmtId="3" fontId="0" fillId="3" borderId="3" xfId="0" applyNumberFormat="1" applyFill="1" applyBorder="1" applyAlignment="1">
      <alignment horizontal="right"/>
    </xf>
    <xf numFmtId="3" fontId="0" fillId="3" borderId="4" xfId="0" applyNumberFormat="1" applyFill="1" applyBorder="1" applyAlignment="1">
      <alignment horizontal="right"/>
    </xf>
    <xf numFmtId="3" fontId="0" fillId="3" borderId="9" xfId="0" applyNumberFormat="1" applyFill="1" applyBorder="1" applyAlignment="1">
      <alignment horizontal="right"/>
    </xf>
    <xf numFmtId="168" fontId="0" fillId="3" borderId="5" xfId="0" applyNumberFormat="1" applyFill="1" applyBorder="1" applyAlignment="1">
      <alignment horizontal="right"/>
    </xf>
    <xf numFmtId="168" fontId="0" fillId="3" borderId="6" xfId="0" applyNumberFormat="1" applyFill="1" applyBorder="1" applyAlignment="1">
      <alignment horizontal="right"/>
    </xf>
    <xf numFmtId="168" fontId="0" fillId="3" borderId="11" xfId="0" applyNumberFormat="1" applyFill="1" applyBorder="1" applyAlignment="1">
      <alignment horizontal="right"/>
    </xf>
    <xf numFmtId="0" fontId="0" fillId="3" borderId="0" xfId="0" applyFill="1" applyAlignment="1">
      <alignment horizontal="left"/>
    </xf>
    <xf numFmtId="0" fontId="9" fillId="11" borderId="30" xfId="0" applyFont="1" applyFill="1" applyBorder="1" applyAlignment="1">
      <alignment horizontal="center" vertical="center" wrapText="1"/>
    </xf>
    <xf numFmtId="10" fontId="0" fillId="3" borderId="31" xfId="1" applyNumberFormat="1" applyFont="1" applyFill="1" applyBorder="1"/>
    <xf numFmtId="10" fontId="0" fillId="3" borderId="33" xfId="1" applyNumberFormat="1" applyFont="1" applyFill="1" applyBorder="1"/>
    <xf numFmtId="0" fontId="0" fillId="6" borderId="30" xfId="0" applyFill="1" applyBorder="1" applyAlignment="1">
      <alignment horizontal="left" wrapText="1"/>
    </xf>
    <xf numFmtId="2" fontId="0" fillId="3" borderId="30" xfId="1" applyNumberFormat="1" applyFont="1" applyFill="1" applyBorder="1" applyAlignment="1">
      <alignment wrapText="1"/>
    </xf>
    <xf numFmtId="0" fontId="0" fillId="30" borderId="35" xfId="0" applyFill="1" applyBorder="1" applyAlignment="1">
      <alignment horizontal="left" vertical="center"/>
    </xf>
    <xf numFmtId="3" fontId="23" fillId="0" borderId="51" xfId="0" applyNumberFormat="1" applyFont="1" applyBorder="1" applyAlignment="1">
      <alignment horizontal="right" vertical="center" wrapText="1"/>
    </xf>
    <xf numFmtId="3" fontId="23" fillId="0" borderId="52" xfId="0" applyNumberFormat="1" applyFont="1" applyBorder="1" applyAlignment="1">
      <alignment horizontal="right" vertical="center" wrapText="1"/>
    </xf>
    <xf numFmtId="3" fontId="23" fillId="0" borderId="53" xfId="0" applyNumberFormat="1" applyFont="1" applyBorder="1" applyAlignment="1">
      <alignment horizontal="right" vertical="center" wrapText="1"/>
    </xf>
    <xf numFmtId="0" fontId="0" fillId="30" borderId="54" xfId="0" applyFill="1" applyBorder="1" applyAlignment="1">
      <alignment horizontal="left" vertical="center"/>
    </xf>
    <xf numFmtId="3" fontId="23" fillId="0" borderId="55" xfId="0" applyNumberFormat="1" applyFont="1" applyBorder="1" applyAlignment="1">
      <alignment horizontal="right" vertical="center" wrapText="1"/>
    </xf>
    <xf numFmtId="3" fontId="23" fillId="0" borderId="56" xfId="0" applyNumberFormat="1" applyFont="1" applyBorder="1" applyAlignment="1">
      <alignment horizontal="right" vertical="center" wrapText="1"/>
    </xf>
    <xf numFmtId="3" fontId="23" fillId="0" borderId="50" xfId="0" applyNumberFormat="1" applyFont="1" applyBorder="1" applyAlignment="1">
      <alignment horizontal="right" vertical="center" wrapText="1"/>
    </xf>
    <xf numFmtId="0" fontId="0" fillId="30" borderId="31" xfId="0" applyFill="1" applyBorder="1" applyAlignment="1">
      <alignment horizontal="left" vertical="center"/>
    </xf>
    <xf numFmtId="3" fontId="0" fillId="32" borderId="47" xfId="0" applyNumberFormat="1" applyFill="1" applyBorder="1" applyAlignment="1">
      <alignment horizontal="right" vertical="center"/>
    </xf>
    <xf numFmtId="3" fontId="0" fillId="32" borderId="48" xfId="0" applyNumberFormat="1" applyFill="1" applyBorder="1" applyAlignment="1">
      <alignment horizontal="right" vertical="center"/>
    </xf>
    <xf numFmtId="3" fontId="0" fillId="32" borderId="32" xfId="0" applyNumberFormat="1" applyFill="1" applyBorder="1" applyAlignment="1">
      <alignment horizontal="right" vertical="center"/>
    </xf>
    <xf numFmtId="3" fontId="0" fillId="30" borderId="9" xfId="0" applyNumberFormat="1" applyFill="1" applyBorder="1" applyAlignment="1">
      <alignment horizontal="right" vertical="center"/>
    </xf>
    <xf numFmtId="0" fontId="0" fillId="30" borderId="33" xfId="0" applyFill="1" applyBorder="1" applyAlignment="1">
      <alignment horizontal="left" vertical="center"/>
    </xf>
    <xf numFmtId="3" fontId="0" fillId="32" borderId="49" xfId="0" applyNumberFormat="1" applyFill="1" applyBorder="1" applyAlignment="1">
      <alignment horizontal="right" vertical="center"/>
    </xf>
    <xf numFmtId="3" fontId="0" fillId="32" borderId="57" xfId="0" applyNumberFormat="1" applyFill="1" applyBorder="1" applyAlignment="1">
      <alignment horizontal="right" vertical="center"/>
    </xf>
    <xf numFmtId="3" fontId="0" fillId="32" borderId="34" xfId="0" applyNumberFormat="1" applyFill="1" applyBorder="1" applyAlignment="1">
      <alignment horizontal="right" vertical="center"/>
    </xf>
    <xf numFmtId="3" fontId="0" fillId="30" borderId="11" xfId="0" applyNumberFormat="1" applyFill="1" applyBorder="1" applyAlignment="1">
      <alignment horizontal="right" vertical="center"/>
    </xf>
    <xf numFmtId="3" fontId="0" fillId="33" borderId="47" xfId="0" applyNumberFormat="1" applyFill="1" applyBorder="1" applyAlignment="1">
      <alignment horizontal="right" vertical="center"/>
    </xf>
    <xf numFmtId="3" fontId="0" fillId="33" borderId="32" xfId="0" applyNumberFormat="1" applyFill="1" applyBorder="1" applyAlignment="1">
      <alignment horizontal="right" vertical="center"/>
    </xf>
    <xf numFmtId="3" fontId="0" fillId="30" borderId="4" xfId="0" applyNumberFormat="1" applyFill="1" applyBorder="1" applyAlignment="1">
      <alignment horizontal="right" vertical="center"/>
    </xf>
    <xf numFmtId="3" fontId="0" fillId="33" borderId="58" xfId="0" applyNumberFormat="1" applyFill="1" applyBorder="1" applyAlignment="1">
      <alignment horizontal="right" vertical="center"/>
    </xf>
    <xf numFmtId="3" fontId="0" fillId="33" borderId="39" xfId="0" applyNumberFormat="1" applyFill="1" applyBorder="1" applyAlignment="1">
      <alignment horizontal="right" vertical="center"/>
    </xf>
    <xf numFmtId="3" fontId="0" fillId="30" borderId="59" xfId="0" applyNumberFormat="1" applyFill="1" applyBorder="1" applyAlignment="1">
      <alignment horizontal="right" vertical="center"/>
    </xf>
    <xf numFmtId="3" fontId="0" fillId="30" borderId="60" xfId="0" applyNumberFormat="1" applyFill="1" applyBorder="1" applyAlignment="1">
      <alignment horizontal="right" vertical="center"/>
    </xf>
    <xf numFmtId="3" fontId="0" fillId="3" borderId="5" xfId="0" applyNumberFormat="1" applyFill="1" applyBorder="1" applyAlignment="1">
      <alignment horizontal="right"/>
    </xf>
    <xf numFmtId="3" fontId="0" fillId="30" borderId="6" xfId="0" applyNumberFormat="1" applyFill="1" applyBorder="1" applyAlignment="1">
      <alignment horizontal="right" vertical="center"/>
    </xf>
    <xf numFmtId="169" fontId="0" fillId="3" borderId="30" xfId="1" applyNumberFormat="1" applyFont="1" applyFill="1" applyBorder="1" applyAlignment="1">
      <alignment wrapText="1"/>
    </xf>
    <xf numFmtId="0" fontId="0" fillId="0" borderId="35" xfId="0" applyBorder="1" applyAlignment="1">
      <alignment horizontal="left" vertical="center"/>
    </xf>
    <xf numFmtId="3" fontId="0" fillId="30" borderId="7" xfId="0" applyNumberFormat="1" applyFill="1" applyBorder="1" applyAlignment="1">
      <alignment horizontal="right" vertical="center"/>
    </xf>
    <xf numFmtId="0" fontId="0" fillId="0" borderId="54" xfId="0" applyBorder="1" applyAlignment="1">
      <alignment horizontal="left" vertical="center"/>
    </xf>
    <xf numFmtId="3" fontId="0" fillId="30" borderId="61" xfId="0" applyNumberFormat="1" applyFill="1" applyBorder="1" applyAlignment="1">
      <alignment horizontal="right" vertical="center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3" fontId="0" fillId="33" borderId="48" xfId="0" applyNumberFormat="1" applyFill="1" applyBorder="1" applyAlignment="1">
      <alignment horizontal="right" vertical="center"/>
    </xf>
    <xf numFmtId="3" fontId="0" fillId="33" borderId="62" xfId="0" applyNumberFormat="1" applyFill="1" applyBorder="1" applyAlignment="1">
      <alignment horizontal="right" vertical="center"/>
    </xf>
    <xf numFmtId="0" fontId="0" fillId="0" borderId="33" xfId="0" applyBorder="1" applyAlignment="1">
      <alignment horizontal="left"/>
    </xf>
    <xf numFmtId="169" fontId="0" fillId="3" borderId="5" xfId="0" applyNumberFormat="1" applyFill="1" applyBorder="1" applyAlignment="1">
      <alignment horizontal="right"/>
    </xf>
    <xf numFmtId="9" fontId="0" fillId="0" borderId="63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37" fontId="0" fillId="0" borderId="0" xfId="0" applyNumberFormat="1"/>
    <xf numFmtId="41" fontId="4" fillId="0" borderId="0" xfId="7" applyNumberFormat="1" applyFont="1" applyFill="1" applyBorder="1" applyAlignment="1">
      <alignment horizontal="right" vertical="center"/>
    </xf>
    <xf numFmtId="1" fontId="0" fillId="0" borderId="0" xfId="0" applyNumberFormat="1"/>
    <xf numFmtId="0" fontId="3" fillId="35" borderId="64" xfId="0" applyFont="1" applyFill="1" applyBorder="1" applyAlignment="1">
      <alignment horizontal="center" vertical="center"/>
    </xf>
    <xf numFmtId="41" fontId="4" fillId="0" borderId="0" xfId="7" applyNumberFormat="1" applyFont="1" applyAlignment="1">
      <alignment horizontal="right" vertical="center"/>
    </xf>
    <xf numFmtId="0" fontId="0" fillId="0" borderId="0" xfId="0" quotePrefix="1"/>
    <xf numFmtId="0" fontId="17" fillId="0" borderId="0" xfId="0" applyFont="1"/>
    <xf numFmtId="0" fontId="0" fillId="0" borderId="25" xfId="0" applyBorder="1"/>
    <xf numFmtId="0" fontId="0" fillId="0" borderId="27" xfId="0" applyBorder="1"/>
    <xf numFmtId="41" fontId="17" fillId="0" borderId="0" xfId="7" applyNumberFormat="1" applyFont="1" applyFill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4" fillId="20" borderId="22" xfId="0" applyFont="1" applyFill="1" applyBorder="1"/>
    <xf numFmtId="0" fontId="4" fillId="20" borderId="23" xfId="0" applyFont="1" applyFill="1" applyBorder="1"/>
    <xf numFmtId="0" fontId="4" fillId="20" borderId="24" xfId="0" applyFont="1" applyFill="1" applyBorder="1"/>
    <xf numFmtId="0" fontId="0" fillId="0" borderId="25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43" fontId="4" fillId="10" borderId="26" xfId="7" applyFont="1" applyFill="1" applyBorder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3" fillId="7" borderId="68" xfId="0" applyFont="1" applyFill="1" applyBorder="1"/>
    <xf numFmtId="0" fontId="4" fillId="10" borderId="69" xfId="0" applyFont="1" applyFill="1" applyBorder="1"/>
    <xf numFmtId="0" fontId="4" fillId="6" borderId="80" xfId="0" applyFont="1" applyFill="1" applyBorder="1"/>
    <xf numFmtId="43" fontId="4" fillId="6" borderId="73" xfId="7" applyFont="1" applyFill="1" applyBorder="1"/>
    <xf numFmtId="0" fontId="4" fillId="6" borderId="81" xfId="0" applyFont="1" applyFill="1" applyBorder="1"/>
    <xf numFmtId="43" fontId="4" fillId="6" borderId="77" xfId="7" applyFont="1" applyFill="1" applyBorder="1"/>
    <xf numFmtId="0" fontId="4" fillId="6" borderId="72" xfId="0" applyFont="1" applyFill="1" applyBorder="1"/>
    <xf numFmtId="0" fontId="4" fillId="6" borderId="73" xfId="7" applyNumberFormat="1" applyFont="1" applyFill="1" applyBorder="1"/>
    <xf numFmtId="0" fontId="4" fillId="6" borderId="74" xfId="0" applyFont="1" applyFill="1" applyBorder="1"/>
    <xf numFmtId="43" fontId="4" fillId="6" borderId="75" xfId="7" applyFont="1" applyFill="1" applyBorder="1"/>
    <xf numFmtId="0" fontId="4" fillId="6" borderId="76" xfId="0" applyFont="1" applyFill="1" applyBorder="1"/>
    <xf numFmtId="0" fontId="3" fillId="17" borderId="13" xfId="0" applyFont="1" applyFill="1" applyBorder="1"/>
    <xf numFmtId="43" fontId="4" fillId="10" borderId="29" xfId="7" applyFont="1" applyFill="1" applyBorder="1" applyAlignment="1">
      <alignment horizontal="right" vertical="center"/>
    </xf>
    <xf numFmtId="0" fontId="0" fillId="0" borderId="84" xfId="0" applyBorder="1"/>
    <xf numFmtId="0" fontId="4" fillId="0" borderId="85" xfId="0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0" fillId="34" borderId="0" xfId="0" applyFill="1"/>
    <xf numFmtId="0" fontId="7" fillId="34" borderId="0" xfId="2" applyFill="1" applyAlignment="1"/>
    <xf numFmtId="0" fontId="0" fillId="16" borderId="19" xfId="0" applyFill="1" applyBorder="1"/>
    <xf numFmtId="0" fontId="0" fillId="16" borderId="20" xfId="0" applyFill="1" applyBorder="1"/>
    <xf numFmtId="0" fontId="0" fillId="16" borderId="21" xfId="0" applyFill="1" applyBorder="1"/>
    <xf numFmtId="0" fontId="4" fillId="37" borderId="65" xfId="0" applyFont="1" applyFill="1" applyBorder="1"/>
    <xf numFmtId="0" fontId="0" fillId="38" borderId="26" xfId="0" applyFill="1" applyBorder="1"/>
    <xf numFmtId="0" fontId="0" fillId="38" borderId="29" xfId="0" applyFill="1" applyBorder="1"/>
    <xf numFmtId="9" fontId="0" fillId="39" borderId="26" xfId="0" applyNumberFormat="1" applyFill="1" applyBorder="1"/>
    <xf numFmtId="10" fontId="0" fillId="39" borderId="26" xfId="0" applyNumberFormat="1" applyFill="1" applyBorder="1"/>
    <xf numFmtId="0" fontId="0" fillId="39" borderId="26" xfId="0" applyFill="1" applyBorder="1"/>
    <xf numFmtId="0" fontId="0" fillId="39" borderId="29" xfId="0" applyFill="1" applyBorder="1"/>
    <xf numFmtId="0" fontId="17" fillId="27" borderId="0" xfId="0" applyFont="1" applyFill="1"/>
    <xf numFmtId="0" fontId="3" fillId="35" borderId="63" xfId="0" applyFont="1" applyFill="1" applyBorder="1"/>
    <xf numFmtId="0" fontId="3" fillId="35" borderId="63" xfId="0" applyFont="1" applyFill="1" applyBorder="1" applyAlignment="1">
      <alignment horizontal="center"/>
    </xf>
    <xf numFmtId="0" fontId="0" fillId="19" borderId="25" xfId="0" applyFill="1" applyBorder="1" applyAlignment="1">
      <alignment horizontal="left"/>
    </xf>
    <xf numFmtId="0" fontId="0" fillId="19" borderId="0" xfId="0" applyFill="1" applyAlignment="1">
      <alignment horizontal="left"/>
    </xf>
    <xf numFmtId="41" fontId="17" fillId="0" borderId="0" xfId="7" applyNumberFormat="1" applyFont="1" applyAlignment="1">
      <alignment horizontal="right" vertical="center"/>
    </xf>
    <xf numFmtId="0" fontId="17" fillId="3" borderId="0" xfId="0" applyFont="1" applyFill="1"/>
    <xf numFmtId="0" fontId="3" fillId="35" borderId="87" xfId="0" applyFont="1" applyFill="1" applyBorder="1" applyAlignment="1">
      <alignment horizontal="center"/>
    </xf>
    <xf numFmtId="0" fontId="3" fillId="17" borderId="63" xfId="0" applyFont="1" applyFill="1" applyBorder="1"/>
    <xf numFmtId="0" fontId="0" fillId="0" borderId="63" xfId="0" applyBorder="1"/>
    <xf numFmtId="0" fontId="3" fillId="17" borderId="63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3" fillId="35" borderId="63" xfId="0" applyFont="1" applyFill="1" applyBorder="1" applyAlignment="1">
      <alignment horizontal="center" vertical="center"/>
    </xf>
    <xf numFmtId="3" fontId="0" fillId="0" borderId="63" xfId="0" applyNumberFormat="1" applyBorder="1"/>
    <xf numFmtId="37" fontId="0" fillId="0" borderId="63" xfId="0" applyNumberFormat="1" applyBorder="1"/>
    <xf numFmtId="0" fontId="3" fillId="35" borderId="83" xfId="0" applyFont="1" applyFill="1" applyBorder="1" applyAlignment="1">
      <alignment horizontal="center" vertical="center"/>
    </xf>
    <xf numFmtId="0" fontId="3" fillId="35" borderId="87" xfId="0" applyFont="1" applyFill="1" applyBorder="1" applyAlignment="1">
      <alignment horizontal="center" vertical="center"/>
    </xf>
    <xf numFmtId="0" fontId="4" fillId="9" borderId="82" xfId="0" applyFont="1" applyFill="1" applyBorder="1"/>
    <xf numFmtId="0" fontId="4" fillId="9" borderId="63" xfId="0" applyFont="1" applyFill="1" applyBorder="1"/>
    <xf numFmtId="0" fontId="4" fillId="41" borderId="63" xfId="0" applyFont="1" applyFill="1" applyBorder="1"/>
    <xf numFmtId="9" fontId="28" fillId="9" borderId="63" xfId="0" applyNumberFormat="1" applyFont="1" applyFill="1" applyBorder="1" applyAlignment="1">
      <alignment horizontal="center"/>
    </xf>
    <xf numFmtId="0" fontId="4" fillId="42" borderId="63" xfId="0" applyFont="1" applyFill="1" applyBorder="1"/>
    <xf numFmtId="9" fontId="0" fillId="42" borderId="63" xfId="0" applyNumberFormat="1" applyFill="1" applyBorder="1" applyAlignment="1">
      <alignment horizontal="center"/>
    </xf>
    <xf numFmtId="37" fontId="28" fillId="9" borderId="63" xfId="7" applyNumberFormat="1" applyFont="1" applyFill="1" applyBorder="1" applyAlignment="1">
      <alignment horizontal="center"/>
    </xf>
    <xf numFmtId="37" fontId="28" fillId="9" borderId="63" xfId="0" applyNumberFormat="1" applyFont="1" applyFill="1" applyBorder="1" applyAlignment="1">
      <alignment horizontal="center"/>
    </xf>
    <xf numFmtId="0" fontId="12" fillId="4" borderId="0" xfId="0" applyFont="1" applyFill="1"/>
    <xf numFmtId="6" fontId="11" fillId="0" borderId="0" xfId="3" applyNumberFormat="1" applyFont="1"/>
    <xf numFmtId="0" fontId="3" fillId="35" borderId="88" xfId="0" applyFont="1" applyFill="1" applyBorder="1" applyAlignment="1">
      <alignment horizontal="center" vertical="center" wrapText="1"/>
    </xf>
    <xf numFmtId="0" fontId="3" fillId="35" borderId="64" xfId="0" applyFont="1" applyFill="1" applyBorder="1" applyAlignment="1">
      <alignment horizontal="center" vertical="center" wrapText="1"/>
    </xf>
    <xf numFmtId="0" fontId="0" fillId="36" borderId="88" xfId="0" applyFill="1" applyBorder="1" applyAlignment="1">
      <alignment horizontal="left" vertical="center"/>
    </xf>
    <xf numFmtId="0" fontId="0" fillId="36" borderId="64" xfId="0" applyFill="1" applyBorder="1" applyAlignment="1">
      <alignment horizontal="left"/>
    </xf>
    <xf numFmtId="0" fontId="0" fillId="0" borderId="88" xfId="0" applyBorder="1" applyAlignment="1">
      <alignment horizontal="left" vertical="center"/>
    </xf>
    <xf numFmtId="0" fontId="0" fillId="0" borderId="64" xfId="0" applyBorder="1" applyAlignment="1">
      <alignment horizontal="left"/>
    </xf>
    <xf numFmtId="0" fontId="0" fillId="0" borderId="88" xfId="0" applyBorder="1"/>
    <xf numFmtId="0" fontId="0" fillId="36" borderId="88" xfId="0" applyFill="1" applyBorder="1"/>
    <xf numFmtId="0" fontId="6" fillId="0" borderId="88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36" borderId="88" xfId="0" applyFont="1" applyFill="1" applyBorder="1" applyAlignment="1">
      <alignment horizontal="left" vertical="center"/>
    </xf>
    <xf numFmtId="0" fontId="6" fillId="36" borderId="64" xfId="0" applyFont="1" applyFill="1" applyBorder="1" applyAlignment="1">
      <alignment horizontal="left" vertical="center"/>
    </xf>
    <xf numFmtId="0" fontId="3" fillId="35" borderId="89" xfId="0" applyFont="1" applyFill="1" applyBorder="1" applyAlignment="1">
      <alignment horizontal="center" vertical="center"/>
    </xf>
    <xf numFmtId="0" fontId="17" fillId="9" borderId="0" xfId="0" applyFont="1" applyFill="1"/>
    <xf numFmtId="0" fontId="0" fillId="9" borderId="0" xfId="0" applyFill="1"/>
    <xf numFmtId="0" fontId="0" fillId="20" borderId="0" xfId="0" applyFill="1"/>
    <xf numFmtId="0" fontId="0" fillId="20" borderId="0" xfId="0" applyFill="1" applyAlignment="1">
      <alignment horizontal="left" vertical="center"/>
    </xf>
    <xf numFmtId="0" fontId="0" fillId="20" borderId="0" xfId="0" applyFill="1" applyAlignment="1">
      <alignment vertical="center"/>
    </xf>
    <xf numFmtId="0" fontId="6" fillId="20" borderId="0" xfId="0" applyFont="1" applyFill="1" applyAlignment="1">
      <alignment horizontal="left" vertical="center"/>
    </xf>
    <xf numFmtId="0" fontId="5" fillId="9" borderId="0" xfId="0" applyFont="1" applyFill="1"/>
    <xf numFmtId="0" fontId="0" fillId="9" borderId="0" xfId="0" applyFill="1" applyAlignment="1">
      <alignment horizontal="center"/>
    </xf>
    <xf numFmtId="169" fontId="0" fillId="0" borderId="0" xfId="0" applyNumberFormat="1"/>
    <xf numFmtId="169" fontId="0" fillId="36" borderId="88" xfId="0" applyNumberFormat="1" applyFill="1" applyBorder="1" applyAlignment="1">
      <alignment horizontal="center" vertical="center"/>
    </xf>
    <xf numFmtId="169" fontId="0" fillId="36" borderId="64" xfId="0" applyNumberFormat="1" applyFill="1" applyBorder="1" applyAlignment="1">
      <alignment horizontal="center"/>
    </xf>
    <xf numFmtId="169" fontId="0" fillId="0" borderId="88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/>
    </xf>
    <xf numFmtId="169" fontId="0" fillId="0" borderId="88" xfId="0" applyNumberFormat="1" applyBorder="1" applyAlignment="1">
      <alignment horizontal="center"/>
    </xf>
    <xf numFmtId="169" fontId="0" fillId="36" borderId="88" xfId="0" applyNumberFormat="1" applyFill="1" applyBorder="1" applyAlignment="1">
      <alignment horizontal="center"/>
    </xf>
    <xf numFmtId="169" fontId="6" fillId="0" borderId="88" xfId="0" applyNumberFormat="1" applyFont="1" applyBorder="1" applyAlignment="1">
      <alignment horizontal="center" vertical="center"/>
    </xf>
    <xf numFmtId="169" fontId="6" fillId="0" borderId="64" xfId="0" applyNumberFormat="1" applyFont="1" applyBorder="1" applyAlignment="1">
      <alignment horizontal="center" vertical="center"/>
    </xf>
    <xf numFmtId="169" fontId="6" fillId="36" borderId="88" xfId="0" applyNumberFormat="1" applyFont="1" applyFill="1" applyBorder="1" applyAlignment="1">
      <alignment horizontal="center" vertical="center"/>
    </xf>
    <xf numFmtId="169" fontId="6" fillId="36" borderId="6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indent="4"/>
    </xf>
    <xf numFmtId="169" fontId="0" fillId="43" borderId="64" xfId="0" applyNumberFormat="1" applyFill="1" applyBorder="1" applyAlignment="1">
      <alignment horizontal="center"/>
    </xf>
    <xf numFmtId="169" fontId="0" fillId="43" borderId="88" xfId="0" applyNumberFormat="1" applyFill="1" applyBorder="1" applyAlignment="1">
      <alignment horizontal="center" vertical="center"/>
    </xf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25" xfId="0" applyFill="1" applyBorder="1"/>
    <xf numFmtId="0" fontId="0" fillId="6" borderId="0" xfId="0" applyFill="1"/>
    <xf numFmtId="0" fontId="0" fillId="6" borderId="26" xfId="0" applyFill="1" applyBorder="1"/>
    <xf numFmtId="0" fontId="0" fillId="6" borderId="28" xfId="0" applyFill="1" applyBorder="1"/>
    <xf numFmtId="0" fontId="0" fillId="6" borderId="29" xfId="0" applyFill="1" applyBorder="1"/>
    <xf numFmtId="169" fontId="0" fillId="44" borderId="64" xfId="0" applyNumberFormat="1" applyFill="1" applyBorder="1" applyAlignment="1">
      <alignment horizontal="center"/>
    </xf>
    <xf numFmtId="169" fontId="0" fillId="44" borderId="88" xfId="0" applyNumberFormat="1" applyFill="1" applyBorder="1" applyAlignment="1">
      <alignment horizontal="center" vertical="center"/>
    </xf>
    <xf numFmtId="0" fontId="4" fillId="24" borderId="0" xfId="0" applyFont="1" applyFill="1"/>
    <xf numFmtId="0" fontId="0" fillId="24" borderId="0" xfId="0" applyFill="1"/>
    <xf numFmtId="3" fontId="0" fillId="39" borderId="0" xfId="0" applyNumberFormat="1" applyFill="1"/>
    <xf numFmtId="0" fontId="31" fillId="24" borderId="0" xfId="0" applyFont="1" applyFill="1"/>
    <xf numFmtId="0" fontId="0" fillId="9" borderId="29" xfId="0" applyFill="1" applyBorder="1"/>
    <xf numFmtId="0" fontId="0" fillId="39" borderId="0" xfId="0" applyFill="1"/>
    <xf numFmtId="0" fontId="3" fillId="18" borderId="92" xfId="0" applyFont="1" applyFill="1" applyBorder="1" applyAlignment="1">
      <alignment horizontal="center"/>
    </xf>
    <xf numFmtId="0" fontId="3" fillId="18" borderId="91" xfId="0" applyFont="1" applyFill="1" applyBorder="1" applyAlignment="1">
      <alignment horizontal="left"/>
    </xf>
    <xf numFmtId="0" fontId="4" fillId="9" borderId="93" xfId="0" applyFont="1" applyFill="1" applyBorder="1" applyAlignment="1">
      <alignment horizontal="center"/>
    </xf>
    <xf numFmtId="0" fontId="4" fillId="9" borderId="94" xfId="0" applyFont="1" applyFill="1" applyBorder="1" applyAlignment="1">
      <alignment horizontal="center"/>
    </xf>
    <xf numFmtId="0" fontId="4" fillId="9" borderId="26" xfId="0" applyFont="1" applyFill="1" applyBorder="1"/>
    <xf numFmtId="0" fontId="4" fillId="9" borderId="29" xfId="0" applyFont="1" applyFill="1" applyBorder="1"/>
    <xf numFmtId="0" fontId="4" fillId="8" borderId="0" xfId="0" applyFont="1" applyFill="1"/>
    <xf numFmtId="0" fontId="0" fillId="8" borderId="0" xfId="0" applyFill="1"/>
    <xf numFmtId="0" fontId="0" fillId="19" borderId="0" xfId="0" applyFill="1"/>
    <xf numFmtId="0" fontId="3" fillId="35" borderId="90" xfId="0" applyFont="1" applyFill="1" applyBorder="1" applyAlignment="1">
      <alignment horizontal="center" vertical="center"/>
    </xf>
    <xf numFmtId="166" fontId="0" fillId="0" borderId="63" xfId="0" applyNumberFormat="1" applyBorder="1"/>
    <xf numFmtId="169" fontId="0" fillId="0" borderId="63" xfId="0" applyNumberFormat="1" applyBorder="1"/>
    <xf numFmtId="169" fontId="0" fillId="6" borderId="64" xfId="0" applyNumberFormat="1" applyFill="1" applyBorder="1" applyAlignment="1">
      <alignment horizontal="center"/>
    </xf>
    <xf numFmtId="169" fontId="0" fillId="6" borderId="88" xfId="0" applyNumberFormat="1" applyFill="1" applyBorder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32" fillId="0" borderId="0" xfId="0" applyFont="1"/>
    <xf numFmtId="1" fontId="0" fillId="39" borderId="26" xfId="0" applyNumberFormat="1" applyFill="1" applyBorder="1"/>
    <xf numFmtId="0" fontId="4" fillId="34" borderId="0" xfId="0" applyFont="1" applyFill="1"/>
    <xf numFmtId="0" fontId="4" fillId="6" borderId="0" xfId="0" applyFont="1" applyFill="1"/>
    <xf numFmtId="0" fontId="4" fillId="45" borderId="0" xfId="0" applyFont="1" applyFill="1"/>
    <xf numFmtId="9" fontId="0" fillId="45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27" fillId="9" borderId="0" xfId="0" applyFont="1" applyFill="1"/>
    <xf numFmtId="0" fontId="3" fillId="18" borderId="21" xfId="0" applyFont="1" applyFill="1" applyBorder="1" applyAlignment="1">
      <alignment horizontal="left"/>
    </xf>
    <xf numFmtId="0" fontId="0" fillId="9" borderId="21" xfId="0" applyFill="1" applyBorder="1"/>
    <xf numFmtId="9" fontId="0" fillId="0" borderId="63" xfId="1" applyFont="1" applyBorder="1"/>
    <xf numFmtId="0" fontId="34" fillId="46" borderId="19" xfId="0" applyFont="1" applyFill="1" applyBorder="1" applyAlignment="1">
      <alignment horizontal="center" vertical="center" wrapText="1"/>
    </xf>
    <xf numFmtId="0" fontId="34" fillId="46" borderId="20" xfId="0" applyFont="1" applyFill="1" applyBorder="1" applyAlignment="1">
      <alignment horizontal="center" vertical="center" wrapText="1"/>
    </xf>
    <xf numFmtId="6" fontId="0" fillId="5" borderId="0" xfId="0" applyNumberFormat="1" applyFill="1"/>
    <xf numFmtId="8" fontId="0" fillId="5" borderId="0" xfId="0" applyNumberFormat="1" applyFill="1"/>
    <xf numFmtId="0" fontId="34" fillId="46" borderId="102" xfId="0" applyFont="1" applyFill="1" applyBorder="1" applyAlignment="1">
      <alignment horizontal="center" vertical="center" wrapText="1"/>
    </xf>
    <xf numFmtId="169" fontId="0" fillId="0" borderId="105" xfId="0" applyNumberFormat="1" applyBorder="1"/>
    <xf numFmtId="166" fontId="0" fillId="0" borderId="105" xfId="0" applyNumberFormat="1" applyBorder="1"/>
    <xf numFmtId="0" fontId="35" fillId="31" borderId="97" xfId="0" applyFont="1" applyFill="1" applyBorder="1" applyAlignment="1">
      <alignment horizontal="center" vertical="center"/>
    </xf>
    <xf numFmtId="0" fontId="36" fillId="31" borderId="98" xfId="0" applyFont="1" applyFill="1" applyBorder="1" applyAlignment="1">
      <alignment horizontal="center" vertical="center"/>
    </xf>
    <xf numFmtId="0" fontId="36" fillId="31" borderId="99" xfId="0" applyFont="1" applyFill="1" applyBorder="1" applyAlignment="1">
      <alignment horizontal="center" vertical="center"/>
    </xf>
    <xf numFmtId="0" fontId="37" fillId="31" borderId="104" xfId="0" applyFont="1" applyFill="1" applyBorder="1" applyAlignment="1">
      <alignment horizontal="center" vertical="center"/>
    </xf>
    <xf numFmtId="0" fontId="36" fillId="31" borderId="100" xfId="0" applyFont="1" applyFill="1" applyBorder="1" applyAlignment="1">
      <alignment horizontal="center" vertical="center"/>
    </xf>
    <xf numFmtId="0" fontId="35" fillId="3" borderId="96" xfId="0" applyFont="1" applyFill="1" applyBorder="1" applyAlignment="1">
      <alignment horizontal="center" vertical="center"/>
    </xf>
    <xf numFmtId="0" fontId="35" fillId="3" borderId="97" xfId="0" applyFont="1" applyFill="1" applyBorder="1" applyAlignment="1">
      <alignment horizontal="center" vertical="center"/>
    </xf>
    <xf numFmtId="0" fontId="6" fillId="0" borderId="0" xfId="0" applyFont="1"/>
    <xf numFmtId="0" fontId="4" fillId="3" borderId="0" xfId="0" applyFont="1" applyFill="1" applyProtection="1">
      <protection locked="0"/>
    </xf>
    <xf numFmtId="0" fontId="0" fillId="19" borderId="0" xfId="0" applyFill="1" applyProtection="1">
      <protection locked="0"/>
    </xf>
    <xf numFmtId="0" fontId="7" fillId="19" borderId="0" xfId="2" applyFill="1" applyAlignment="1" applyProtection="1">
      <protection locked="0"/>
    </xf>
    <xf numFmtId="0" fontId="12" fillId="47" borderId="0" xfId="0" applyFont="1" applyFill="1"/>
    <xf numFmtId="0" fontId="3" fillId="47" borderId="0" xfId="0" applyFont="1" applyFill="1"/>
    <xf numFmtId="0" fontId="5" fillId="47" borderId="0" xfId="0" applyFont="1" applyFill="1"/>
    <xf numFmtId="0" fontId="32" fillId="9" borderId="0" xfId="0" applyFont="1" applyFill="1"/>
    <xf numFmtId="0" fontId="0" fillId="19" borderId="0" xfId="0" applyFill="1" applyAlignment="1" applyProtection="1">
      <alignment horizontal="left"/>
      <protection locked="0"/>
    </xf>
    <xf numFmtId="0" fontId="12" fillId="18" borderId="0" xfId="0" applyFont="1" applyFill="1"/>
    <xf numFmtId="0" fontId="3" fillId="18" borderId="0" xfId="0" applyFont="1" applyFill="1"/>
    <xf numFmtId="0" fontId="5" fillId="18" borderId="0" xfId="0" applyFont="1" applyFill="1"/>
    <xf numFmtId="0" fontId="15" fillId="2" borderId="0" xfId="0" applyFont="1" applyFill="1" applyAlignment="1">
      <alignment horizontal="left" vertical="center" indent="3"/>
    </xf>
    <xf numFmtId="0" fontId="0" fillId="0" borderId="63" xfId="0" applyBorder="1" applyAlignment="1">
      <alignment horizontal="center" vertical="center"/>
    </xf>
    <xf numFmtId="9" fontId="0" fillId="3" borderId="0" xfId="0" applyNumberFormat="1" applyFill="1" applyAlignment="1">
      <alignment horizontal="center"/>
    </xf>
    <xf numFmtId="0" fontId="34" fillId="46" borderId="106" xfId="0" applyFont="1" applyFill="1" applyBorder="1" applyAlignment="1">
      <alignment horizontal="center" vertical="center" wrapText="1"/>
    </xf>
    <xf numFmtId="0" fontId="0" fillId="31" borderId="82" xfId="0" applyFill="1" applyBorder="1"/>
    <xf numFmtId="0" fontId="34" fillId="46" borderId="95" xfId="0" applyFont="1" applyFill="1" applyBorder="1" applyAlignment="1">
      <alignment horizontal="center" vertical="center" wrapText="1"/>
    </xf>
    <xf numFmtId="0" fontId="37" fillId="31" borderId="108" xfId="0" applyFont="1" applyFill="1" applyBorder="1" applyAlignment="1">
      <alignment horizontal="center" vertical="center"/>
    </xf>
    <xf numFmtId="9" fontId="28" fillId="0" borderId="0" xfId="0" applyNumberFormat="1" applyFont="1" applyAlignment="1">
      <alignment horizontal="center"/>
    </xf>
    <xf numFmtId="0" fontId="32" fillId="3" borderId="0" xfId="0" applyFont="1" applyFill="1"/>
    <xf numFmtId="0" fontId="0" fillId="3" borderId="82" xfId="0" applyFill="1" applyBorder="1"/>
    <xf numFmtId="0" fontId="11" fillId="3" borderId="82" xfId="0" applyFont="1" applyFill="1" applyBorder="1" applyAlignment="1">
      <alignment horizontal="left" vertical="center" wrapText="1" indent="1"/>
    </xf>
    <xf numFmtId="0" fontId="27" fillId="3" borderId="0" xfId="0" applyFont="1" applyFill="1"/>
    <xf numFmtId="0" fontId="0" fillId="2" borderId="0" xfId="0" applyFill="1" applyAlignment="1">
      <alignment horizontal="center"/>
    </xf>
    <xf numFmtId="0" fontId="5" fillId="18" borderId="0" xfId="0" applyFont="1" applyFill="1" applyAlignment="1">
      <alignment horizontal="center"/>
    </xf>
    <xf numFmtId="0" fontId="5" fillId="47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8" fontId="0" fillId="23" borderId="0" xfId="0" applyNumberFormat="1" applyFill="1"/>
    <xf numFmtId="7" fontId="0" fillId="23" borderId="0" xfId="0" applyNumberFormat="1" applyFill="1"/>
    <xf numFmtId="0" fontId="4" fillId="9" borderId="0" xfId="0" applyFont="1" applyFill="1"/>
    <xf numFmtId="0" fontId="4" fillId="9" borderId="28" xfId="0" applyFont="1" applyFill="1" applyBorder="1"/>
    <xf numFmtId="0" fontId="4" fillId="9" borderId="115" xfId="0" applyFont="1" applyFill="1" applyBorder="1"/>
    <xf numFmtId="0" fontId="46" fillId="9" borderId="9" xfId="0" applyFont="1" applyFill="1" applyBorder="1" applyAlignment="1">
      <alignment horizontal="center"/>
    </xf>
    <xf numFmtId="0" fontId="46" fillId="9" borderId="12" xfId="0" applyFont="1" applyFill="1" applyBorder="1" applyAlignment="1">
      <alignment horizontal="center"/>
    </xf>
    <xf numFmtId="0" fontId="46" fillId="9" borderId="10" xfId="0" applyFont="1" applyFill="1" applyBorder="1" applyAlignment="1">
      <alignment horizontal="center"/>
    </xf>
    <xf numFmtId="0" fontId="46" fillId="9" borderId="11" xfId="0" applyFont="1" applyFill="1" applyBorder="1" applyAlignment="1">
      <alignment horizontal="center"/>
    </xf>
    <xf numFmtId="0" fontId="46" fillId="9" borderId="12" xfId="7" applyNumberFormat="1" applyFont="1" applyFill="1" applyBorder="1" applyAlignment="1">
      <alignment horizontal="right"/>
    </xf>
    <xf numFmtId="8" fontId="11" fillId="0" borderId="0" xfId="3" applyNumberFormat="1" applyFont="1"/>
    <xf numFmtId="43" fontId="0" fillId="0" borderId="0" xfId="0" applyNumberFormat="1"/>
    <xf numFmtId="0" fontId="8" fillId="3" borderId="0" xfId="0" applyFont="1" applyFill="1"/>
    <xf numFmtId="0" fontId="21" fillId="25" borderId="65" xfId="0" applyFont="1" applyFill="1" applyBorder="1" applyAlignment="1">
      <alignment horizontal="center"/>
    </xf>
    <xf numFmtId="0" fontId="21" fillId="25" borderId="24" xfId="0" applyFont="1" applyFill="1" applyBorder="1" applyAlignment="1">
      <alignment horizontal="center"/>
    </xf>
    <xf numFmtId="0" fontId="47" fillId="9" borderId="0" xfId="0" applyFont="1" applyFill="1"/>
    <xf numFmtId="9" fontId="0" fillId="0" borderId="0" xfId="0" applyNumberFormat="1"/>
    <xf numFmtId="9" fontId="0" fillId="0" borderId="0" xfId="1" applyFont="1" applyFill="1"/>
    <xf numFmtId="0" fontId="15" fillId="2" borderId="0" xfId="0" applyFont="1" applyFill="1" applyAlignment="1">
      <alignment horizontal="left" vertical="center" indent="1"/>
    </xf>
    <xf numFmtId="0" fontId="0" fillId="24" borderId="6" xfId="0" applyFill="1" applyBorder="1" applyAlignment="1">
      <alignment horizontal="center" wrapText="1"/>
    </xf>
    <xf numFmtId="0" fontId="38" fillId="0" borderId="0" xfId="0" applyFont="1" applyAlignment="1">
      <alignment vertical="center"/>
    </xf>
    <xf numFmtId="0" fontId="21" fillId="25" borderId="116" xfId="0" applyFont="1" applyFill="1" applyBorder="1"/>
    <xf numFmtId="0" fontId="43" fillId="19" borderId="117" xfId="0" applyFont="1" applyFill="1" applyBorder="1"/>
    <xf numFmtId="0" fontId="43" fillId="48" borderId="117" xfId="0" applyFont="1" applyFill="1" applyBorder="1"/>
    <xf numFmtId="0" fontId="44" fillId="49" borderId="117" xfId="0" applyFont="1" applyFill="1" applyBorder="1"/>
    <xf numFmtId="0" fontId="44" fillId="50" borderId="117" xfId="0" applyFont="1" applyFill="1" applyBorder="1"/>
    <xf numFmtId="0" fontId="44" fillId="52" borderId="117" xfId="0" applyFont="1" applyFill="1" applyBorder="1"/>
    <xf numFmtId="0" fontId="44" fillId="51" borderId="117" xfId="0" applyFont="1" applyFill="1" applyBorder="1"/>
    <xf numFmtId="0" fontId="44" fillId="53" borderId="117" xfId="0" applyFont="1" applyFill="1" applyBorder="1"/>
    <xf numFmtId="0" fontId="43" fillId="54" borderId="117" xfId="0" applyFont="1" applyFill="1" applyBorder="1"/>
    <xf numFmtId="0" fontId="45" fillId="31" borderId="118" xfId="0" applyFont="1" applyFill="1" applyBorder="1" applyAlignment="1">
      <alignment horizontal="right" vertical="center" indent="4"/>
    </xf>
    <xf numFmtId="0" fontId="21" fillId="18" borderId="119" xfId="0" applyFont="1" applyFill="1" applyBorder="1" applyAlignment="1">
      <alignment horizontal="center" vertical="center"/>
    </xf>
    <xf numFmtId="0" fontId="4" fillId="19" borderId="11" xfId="0" applyFont="1" applyFill="1" applyBorder="1" applyAlignment="1" applyProtection="1">
      <alignment horizontal="center"/>
      <protection locked="0"/>
    </xf>
    <xf numFmtId="41" fontId="4" fillId="19" borderId="12" xfId="7" applyNumberFormat="1" applyFont="1" applyFill="1" applyBorder="1" applyProtection="1">
      <protection locked="0"/>
    </xf>
    <xf numFmtId="41" fontId="4" fillId="19" borderId="10" xfId="7" applyNumberFormat="1" applyFont="1" applyFill="1" applyBorder="1" applyAlignment="1" applyProtection="1">
      <alignment horizontal="center"/>
      <protection locked="0"/>
    </xf>
    <xf numFmtId="10" fontId="4" fillId="19" borderId="15" xfId="1" applyNumberFormat="1" applyFont="1" applyFill="1" applyBorder="1" applyProtection="1">
      <protection locked="0"/>
    </xf>
    <xf numFmtId="0" fontId="4" fillId="19" borderId="23" xfId="0" applyFont="1" applyFill="1" applyBorder="1" applyProtection="1">
      <protection locked="0"/>
    </xf>
    <xf numFmtId="0" fontId="0" fillId="24" borderId="0" xfId="0" applyFill="1" applyAlignment="1" applyProtection="1">
      <alignment horizontal="left"/>
      <protection locked="0"/>
    </xf>
    <xf numFmtId="3" fontId="4" fillId="19" borderId="0" xfId="7" applyNumberFormat="1" applyFont="1" applyFill="1" applyAlignment="1" applyProtection="1">
      <alignment horizontal="right" vertical="center"/>
      <protection locked="0"/>
    </xf>
    <xf numFmtId="0" fontId="6" fillId="24" borderId="0" xfId="0" applyFont="1" applyFill="1" applyAlignment="1" applyProtection="1">
      <alignment horizontal="left" vertical="center"/>
      <protection locked="0"/>
    </xf>
    <xf numFmtId="0" fontId="6" fillId="24" borderId="0" xfId="0" applyFont="1" applyFill="1" applyAlignment="1" applyProtection="1">
      <alignment horizontal="left"/>
      <protection locked="0"/>
    </xf>
    <xf numFmtId="0" fontId="36" fillId="3" borderId="63" xfId="0" applyFont="1" applyFill="1" applyBorder="1" applyAlignment="1" applyProtection="1">
      <alignment horizontal="center" vertical="center"/>
      <protection hidden="1"/>
    </xf>
    <xf numFmtId="0" fontId="36" fillId="3" borderId="83" xfId="0" applyFont="1" applyFill="1" applyBorder="1" applyAlignment="1" applyProtection="1">
      <alignment horizontal="center" vertical="center"/>
      <protection hidden="1"/>
    </xf>
    <xf numFmtId="0" fontId="37" fillId="3" borderId="107" xfId="0" applyFont="1" applyFill="1" applyBorder="1" applyAlignment="1" applyProtection="1">
      <alignment horizontal="center" vertical="center"/>
      <protection hidden="1"/>
    </xf>
    <xf numFmtId="0" fontId="36" fillId="3" borderId="98" xfId="0" applyFont="1" applyFill="1" applyBorder="1" applyAlignment="1" applyProtection="1">
      <alignment horizontal="center" vertical="center"/>
      <protection hidden="1"/>
    </xf>
    <xf numFmtId="0" fontId="36" fillId="3" borderId="99" xfId="0" applyFont="1" applyFill="1" applyBorder="1" applyAlignment="1" applyProtection="1">
      <alignment horizontal="center" vertical="center"/>
      <protection hidden="1"/>
    </xf>
    <xf numFmtId="0" fontId="37" fillId="3" borderId="108" xfId="0" applyFont="1" applyFill="1" applyBorder="1" applyAlignment="1" applyProtection="1">
      <alignment horizontal="center" vertical="center"/>
      <protection hidden="1"/>
    </xf>
    <xf numFmtId="0" fontId="37" fillId="3" borderId="109" xfId="0" applyFont="1" applyFill="1" applyBorder="1" applyAlignment="1" applyProtection="1">
      <alignment horizontal="center" vertical="center"/>
      <protection hidden="1"/>
    </xf>
    <xf numFmtId="0" fontId="36" fillId="3" borderId="82" xfId="0" applyFont="1" applyFill="1" applyBorder="1" applyAlignment="1" applyProtection="1">
      <alignment horizontal="center" vertical="center"/>
      <protection hidden="1"/>
    </xf>
    <xf numFmtId="0" fontId="37" fillId="3" borderId="103" xfId="0" applyFont="1" applyFill="1" applyBorder="1" applyAlignment="1" applyProtection="1">
      <alignment horizontal="center" vertical="center"/>
      <protection hidden="1"/>
    </xf>
    <xf numFmtId="0" fontId="36" fillId="3" borderId="100" xfId="0" applyFont="1" applyFill="1" applyBorder="1" applyAlignment="1" applyProtection="1">
      <alignment horizontal="center" vertical="center"/>
      <protection hidden="1"/>
    </xf>
    <xf numFmtId="0" fontId="37" fillId="3" borderId="104" xfId="0" applyFont="1" applyFill="1" applyBorder="1" applyAlignment="1" applyProtection="1">
      <alignment horizontal="center" vertical="center"/>
      <protection hidden="1"/>
    </xf>
    <xf numFmtId="9" fontId="43" fillId="48" borderId="93" xfId="1" applyFont="1" applyFill="1" applyBorder="1" applyAlignment="1" applyProtection="1">
      <alignment horizontal="center" vertical="center"/>
      <protection hidden="1"/>
    </xf>
    <xf numFmtId="9" fontId="43" fillId="48" borderId="26" xfId="0" applyNumberFormat="1" applyFont="1" applyFill="1" applyBorder="1" applyAlignment="1" applyProtection="1">
      <alignment horizontal="center" vertical="center"/>
      <protection hidden="1"/>
    </xf>
    <xf numFmtId="9" fontId="45" fillId="31" borderId="113" xfId="0" applyNumberFormat="1" applyFont="1" applyFill="1" applyBorder="1" applyAlignment="1" applyProtection="1">
      <alignment horizontal="center" vertical="center"/>
      <protection hidden="1"/>
    </xf>
    <xf numFmtId="9" fontId="45" fillId="31" borderId="114" xfId="0" applyNumberFormat="1" applyFont="1" applyFill="1" applyBorder="1" applyAlignment="1" applyProtection="1">
      <alignment horizontal="center" vertical="center"/>
      <protection hidden="1"/>
    </xf>
    <xf numFmtId="9" fontId="42" fillId="48" borderId="94" xfId="1" applyFont="1" applyFill="1" applyBorder="1" applyAlignment="1" applyProtection="1">
      <alignment horizontal="center" vertical="center"/>
      <protection hidden="1"/>
    </xf>
    <xf numFmtId="9" fontId="42" fillId="48" borderId="29" xfId="0" applyNumberFormat="1" applyFont="1" applyFill="1" applyBorder="1" applyAlignment="1" applyProtection="1">
      <alignment horizontal="center" vertical="center"/>
      <protection hidden="1"/>
    </xf>
    <xf numFmtId="9" fontId="0" fillId="19" borderId="63" xfId="0" applyNumberFormat="1" applyFill="1" applyBorder="1" applyAlignment="1" applyProtection="1">
      <alignment horizontal="center"/>
      <protection locked="0"/>
    </xf>
    <xf numFmtId="9" fontId="0" fillId="19" borderId="83" xfId="0" applyNumberFormat="1" applyFill="1" applyBorder="1" applyAlignment="1" applyProtection="1">
      <alignment horizontal="center"/>
      <protection locked="0"/>
    </xf>
    <xf numFmtId="0" fontId="0" fillId="19" borderId="63" xfId="0" applyFill="1" applyBorder="1" applyAlignment="1" applyProtection="1">
      <alignment horizontal="left" vertical="top" wrapText="1"/>
      <protection locked="0"/>
    </xf>
    <xf numFmtId="9" fontId="0" fillId="40" borderId="63" xfId="0" applyNumberFormat="1" applyFill="1" applyBorder="1" applyAlignment="1" applyProtection="1">
      <alignment horizontal="center"/>
      <protection locked="0"/>
    </xf>
    <xf numFmtId="3" fontId="0" fillId="19" borderId="63" xfId="0" applyNumberFormat="1" applyFill="1" applyBorder="1" applyAlignment="1" applyProtection="1">
      <alignment horizontal="center"/>
      <protection locked="0"/>
    </xf>
    <xf numFmtId="0" fontId="0" fillId="19" borderId="63" xfId="0" applyFill="1" applyBorder="1" applyAlignment="1" applyProtection="1">
      <alignment horizontal="center"/>
      <protection locked="0"/>
    </xf>
    <xf numFmtId="3" fontId="28" fillId="9" borderId="63" xfId="0" applyNumberFormat="1" applyFont="1" applyFill="1" applyBorder="1" applyAlignment="1" applyProtection="1">
      <alignment horizontal="center"/>
      <protection hidden="1"/>
    </xf>
    <xf numFmtId="9" fontId="28" fillId="9" borderId="63" xfId="0" applyNumberFormat="1" applyFont="1" applyFill="1" applyBorder="1" applyAlignment="1" applyProtection="1">
      <alignment horizontal="center"/>
      <protection hidden="1"/>
    </xf>
    <xf numFmtId="0" fontId="4" fillId="9" borderId="95" xfId="0" applyFont="1" applyFill="1" applyBorder="1" applyProtection="1">
      <protection hidden="1"/>
    </xf>
    <xf numFmtId="0" fontId="4" fillId="9" borderId="94" xfId="0" applyFont="1" applyFill="1" applyBorder="1" applyProtection="1">
      <protection hidden="1"/>
    </xf>
    <xf numFmtId="0" fontId="4" fillId="9" borderId="26" xfId="0" applyFont="1" applyFill="1" applyBorder="1" applyProtection="1">
      <protection hidden="1"/>
    </xf>
    <xf numFmtId="0" fontId="4" fillId="9" borderId="29" xfId="0" applyFont="1" applyFill="1" applyBorder="1" applyProtection="1">
      <protection hidden="1"/>
    </xf>
    <xf numFmtId="0" fontId="39" fillId="0" borderId="0" xfId="0" applyFont="1"/>
    <xf numFmtId="0" fontId="39" fillId="0" borderId="101" xfId="0" applyFont="1" applyBorder="1"/>
    <xf numFmtId="0" fontId="0" fillId="0" borderId="101" xfId="0" applyBorder="1"/>
    <xf numFmtId="0" fontId="7" fillId="0" borderId="0" xfId="2" applyFill="1" applyAlignment="1" applyProtection="1">
      <alignment horizontal="left" indent="1"/>
    </xf>
    <xf numFmtId="170" fontId="0" fillId="0" borderId="0" xfId="0" applyNumberFormat="1"/>
    <xf numFmtId="0" fontId="4" fillId="9" borderId="13" xfId="0" applyFont="1" applyFill="1" applyBorder="1" applyAlignment="1">
      <alignment horizontal="left" indent="2"/>
    </xf>
    <xf numFmtId="0" fontId="4" fillId="9" borderId="15" xfId="0" applyFont="1" applyFill="1" applyBorder="1" applyAlignment="1">
      <alignment horizontal="left" indent="2"/>
    </xf>
    <xf numFmtId="0" fontId="4" fillId="21" borderId="78" xfId="0" applyFont="1" applyFill="1" applyBorder="1" applyAlignment="1">
      <alignment horizontal="left" indent="2"/>
    </xf>
    <xf numFmtId="0" fontId="4" fillId="21" borderId="79" xfId="0" applyFont="1" applyFill="1" applyBorder="1" applyAlignment="1">
      <alignment horizontal="left" indent="2"/>
    </xf>
    <xf numFmtId="0" fontId="4" fillId="21" borderId="70" xfId="0" applyFont="1" applyFill="1" applyBorder="1" applyAlignment="1">
      <alignment horizontal="left" indent="2"/>
    </xf>
    <xf numFmtId="0" fontId="4" fillId="21" borderId="71" xfId="0" applyFont="1" applyFill="1" applyBorder="1" applyAlignment="1">
      <alignment horizontal="left" indent="2"/>
    </xf>
    <xf numFmtId="0" fontId="4" fillId="20" borderId="66" xfId="0" applyFont="1" applyFill="1" applyBorder="1" applyAlignment="1">
      <alignment horizontal="center"/>
    </xf>
    <xf numFmtId="0" fontId="4" fillId="20" borderId="67" xfId="0" applyFont="1" applyFill="1" applyBorder="1" applyAlignment="1">
      <alignment horizontal="center"/>
    </xf>
    <xf numFmtId="0" fontId="4" fillId="20" borderId="24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/>
    </xf>
    <xf numFmtId="0" fontId="41" fillId="3" borderId="0" xfId="0" applyFont="1" applyFill="1" applyAlignment="1">
      <alignment horizontal="center"/>
    </xf>
    <xf numFmtId="0" fontId="38" fillId="0" borderId="0" xfId="0" applyFont="1" applyAlignment="1">
      <alignment horizontal="center" vertical="center"/>
    </xf>
    <xf numFmtId="0" fontId="11" fillId="3" borderId="110" xfId="0" applyFont="1" applyFill="1" applyBorder="1" applyAlignment="1">
      <alignment horizontal="left" vertical="center" wrapText="1" indent="1"/>
    </xf>
    <xf numFmtId="0" fontId="11" fillId="3" borderId="111" xfId="0" applyFont="1" applyFill="1" applyBorder="1" applyAlignment="1">
      <alignment horizontal="left" vertical="center" wrapText="1" indent="1"/>
    </xf>
    <xf numFmtId="0" fontId="11" fillId="3" borderId="112" xfId="0" applyFont="1" applyFill="1" applyBorder="1" applyAlignment="1">
      <alignment horizontal="left" vertical="center" wrapText="1" indent="1"/>
    </xf>
    <xf numFmtId="0" fontId="20" fillId="27" borderId="0" xfId="3" applyFont="1" applyFill="1" applyAlignment="1">
      <alignment horizontal="center" vertical="center" wrapText="1"/>
    </xf>
    <xf numFmtId="0" fontId="20" fillId="27" borderId="26" xfId="3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19" borderId="19" xfId="2" applyFill="1" applyBorder="1" applyAlignment="1">
      <alignment horizontal="left"/>
    </xf>
    <xf numFmtId="0" fontId="0" fillId="16" borderId="25" xfId="0" applyFill="1" applyBorder="1" applyAlignment="1">
      <alignment horizontal="left"/>
    </xf>
    <xf numFmtId="0" fontId="0" fillId="16" borderId="27" xfId="0" applyFill="1" applyBorder="1" applyAlignment="1">
      <alignment horizontal="left"/>
    </xf>
    <xf numFmtId="0" fontId="0" fillId="8" borderId="66" xfId="0" applyFill="1" applyBorder="1" applyAlignment="1">
      <alignment horizontal="left"/>
    </xf>
    <xf numFmtId="0" fontId="0" fillId="19" borderId="25" xfId="0" applyFill="1" applyBorder="1" applyAlignment="1">
      <alignment horizontal="left"/>
    </xf>
    <xf numFmtId="0" fontId="0" fillId="19" borderId="27" xfId="0" applyFill="1" applyBorder="1" applyAlignment="1">
      <alignment horizontal="left"/>
    </xf>
    <xf numFmtId="0" fontId="3" fillId="5" borderId="31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41" fontId="0" fillId="0" borderId="63" xfId="0" applyNumberFormat="1" applyBorder="1"/>
    <xf numFmtId="0" fontId="3" fillId="35" borderId="0" xfId="0" applyFont="1" applyFill="1" applyBorder="1" applyAlignment="1">
      <alignment horizontal="center" vertical="center"/>
    </xf>
  </cellXfs>
  <cellStyles count="8">
    <cellStyle name="Comma" xfId="7" builtinId="3"/>
    <cellStyle name="Comma 2" xfId="6" xr:uid="{4EC9A3DE-7992-4F51-9215-8FB83411358D}"/>
    <cellStyle name="Hyperlink" xfId="2" builtinId="8"/>
    <cellStyle name="Hyperlink 2" xfId="4" xr:uid="{B84A71B8-B022-44A9-BFD3-1A5E27395FB3}"/>
    <cellStyle name="Normal" xfId="0" builtinId="0"/>
    <cellStyle name="Normal 2" xfId="3" xr:uid="{FA7CCD28-A691-46A1-BB4C-5D8084AEED79}"/>
    <cellStyle name="Percent" xfId="1" builtinId="5"/>
    <cellStyle name="Percent 2" xfId="5" xr:uid="{DCA07373-E9FB-4906-93B4-53A0ADB8B682}"/>
  </cellStyles>
  <dxfs count="187">
    <dxf>
      <numFmt numFmtId="165" formatCode="_(* #,##0.000000_);_(* \(#,##0.000000\);_(* &quot;-&quot;??_);_(@_)"/>
    </dxf>
    <dxf>
      <numFmt numFmtId="165" formatCode="_(* #,##0.000000_);_(* \(#,##0.000000\);_(* &quot;-&quot;??_);_(@_)"/>
    </dxf>
    <dxf>
      <numFmt numFmtId="165" formatCode="_(* #,##0.000000_);_(* \(#,##0.000000\);_(* &quot;-&quot;??_);_(@_)"/>
    </dxf>
    <dxf>
      <numFmt numFmtId="165" formatCode="_(* #,##0.000000_);_(* \(#,##0.000000\);_(* &quot;-&quot;??_);_(@_)"/>
    </dxf>
    <dxf>
      <numFmt numFmtId="165" formatCode="_(* #,##0.000000_);_(* \(#,##0.000000\);_(* &quot;-&quot;??_);_(@_)"/>
    </dxf>
    <dxf>
      <numFmt numFmtId="165" formatCode="_(* #,##0.000000_);_(* \(#,##0.000000\);_(* &quot;-&quot;??_);_(@_)"/>
    </dxf>
    <dxf>
      <numFmt numFmtId="165" formatCode="_(* #,##0.000000_);_(* \(#,##0.000000\);_(* &quot;-&quot;??_);_(@_)"/>
    </dxf>
    <dxf>
      <numFmt numFmtId="165" formatCode="_(* #,##0.000000_);_(* \(#,##0.000000\);_(* &quot;-&quot;??_);_(@_)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/>
      </font>
    </dxf>
    <dxf>
      <font>
        <color theme="3" tint="0.499984740745262"/>
      </font>
    </dxf>
    <dxf>
      <font>
        <color rgb="FFC00000"/>
      </font>
    </dxf>
    <dxf>
      <font>
        <color theme="7"/>
      </font>
    </dxf>
    <dxf>
      <font>
        <color theme="3" tint="0.499984740745262"/>
      </font>
    </dxf>
    <dxf>
      <font>
        <color rgb="FFC0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C00000"/>
      </font>
    </dxf>
    <dxf>
      <font>
        <color theme="7"/>
      </font>
    </dxf>
    <dxf>
      <font>
        <color rgb="FFC00000"/>
      </font>
    </dxf>
    <dxf>
      <font>
        <color theme="7"/>
      </font>
    </dxf>
    <dxf>
      <font>
        <color theme="7"/>
      </font>
    </dxf>
    <dxf>
      <font>
        <color rgb="FFC00000"/>
      </font>
    </dxf>
    <dxf>
      <font>
        <color theme="7"/>
      </font>
    </dxf>
    <dxf>
      <font>
        <color rgb="FFC0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C00000"/>
      </font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Arial Narrow"/>
        <family val="2"/>
        <scheme val="minor"/>
      </font>
      <numFmt numFmtId="33" formatCode="_(* #,##0_);_(* \(#,##0\);_(* &quot;-&quot;_);_(@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Arial Narrow"/>
        <family val="2"/>
        <scheme val="minor"/>
      </font>
      <numFmt numFmtId="33" formatCode="_(* #,##0_);_(* \(#,##0\);_(* &quot;-&quot;_);_(@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family val="2"/>
        <scheme val="minor"/>
      </font>
      <numFmt numFmtId="0" formatCode="General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minor"/>
      </font>
    </dxf>
    <dxf>
      <font>
        <sz val="12"/>
      </font>
      <fill>
        <patternFill patternType="none">
          <bgColor auto="1"/>
        </patternFill>
      </fill>
    </dxf>
    <dxf>
      <font>
        <sz val="12"/>
      </font>
      <fill>
        <patternFill patternType="none">
          <bgColor auto="1"/>
        </patternFill>
      </fill>
    </dxf>
    <dxf>
      <font>
        <sz val="12"/>
      </font>
      <fill>
        <patternFill patternType="none">
          <bgColor auto="1"/>
        </patternFill>
      </fill>
    </dxf>
    <dxf>
      <font>
        <sz val="12"/>
      </font>
      <fill>
        <patternFill patternType="none">
          <bgColor auto="1"/>
        </patternFill>
      </fill>
    </dxf>
    <dxf>
      <font>
        <sz val="12"/>
      </font>
      <fill>
        <patternFill patternType="none">
          <bgColor auto="1"/>
        </patternFill>
      </fill>
    </dxf>
    <dxf>
      <font>
        <sz val="12"/>
      </font>
      <fill>
        <patternFill patternType="none">
          <bgColor auto="1"/>
        </patternFill>
      </fill>
    </dxf>
    <dxf>
      <font>
        <sz val="12"/>
      </font>
      <fill>
        <patternFill patternType="none">
          <bgColor auto="1"/>
        </patternFill>
      </fill>
    </dxf>
    <dxf>
      <numFmt numFmtId="13" formatCode="0%"/>
      <fill>
        <patternFill patternType="solid">
          <fgColor indexed="64"/>
          <bgColor theme="3" tint="0.8999908444471571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3" formatCode="0%"/>
      <fill>
        <patternFill patternType="solid">
          <fgColor indexed="64"/>
          <bgColor theme="3" tint="0.8999908444471571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fill>
        <patternFill patternType="solid">
          <fgColor indexed="64"/>
          <bgColor theme="1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Narrow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numFmt numFmtId="3" formatCode="#,##0"/>
      <fill>
        <patternFill patternType="solid">
          <fgColor indexed="64"/>
          <bgColor theme="3" tint="0.89999084444715716"/>
        </patternFill>
      </fill>
      <alignment horizontal="right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0.89999084444715716"/>
        </patternFill>
      </fill>
      <alignment horizontal="left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numFmt numFmtId="3" formatCode="#,##0"/>
      <fill>
        <patternFill patternType="solid">
          <fgColor indexed="64"/>
          <bgColor theme="3" tint="0.89999084444715716"/>
        </patternFill>
      </fill>
      <alignment horizontal="right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0.89999084444715716"/>
        </patternFill>
      </fill>
      <alignment horizontal="left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numFmt numFmtId="3" formatCode="#,##0"/>
      <fill>
        <patternFill patternType="solid">
          <fgColor indexed="64"/>
          <bgColor theme="3" tint="0.89999084444715716"/>
        </patternFill>
      </fill>
      <alignment horizontal="right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0.89999084444715716"/>
        </patternFill>
      </fill>
      <alignment horizontal="left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numFmt numFmtId="3" formatCode="#,##0"/>
      <fill>
        <patternFill patternType="solid">
          <fgColor indexed="64"/>
          <bgColor theme="3" tint="0.89999084444715716"/>
        </patternFill>
      </fill>
      <alignment horizontal="right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0.89999084444715716"/>
        </patternFill>
      </fill>
      <alignment horizontal="left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numFmt numFmtId="3" formatCode="#,##0"/>
      <fill>
        <patternFill patternType="solid">
          <fgColor indexed="64"/>
          <bgColor theme="3" tint="0.89999084444715716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4" tint="0.89999084444715716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numFmt numFmtId="3" formatCode="#,##0"/>
      <fill>
        <patternFill patternType="solid">
          <fgColor indexed="64"/>
          <bgColor theme="3" tint="0.89999084444715716"/>
        </patternFill>
      </fill>
      <alignment horizontal="right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0.89999084444715716"/>
        </patternFill>
      </fill>
      <alignment horizontal="left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numFmt numFmtId="3" formatCode="#,##0"/>
      <fill>
        <patternFill patternType="solid">
          <fgColor indexed="64"/>
          <bgColor theme="3" tint="0.89999084444715716"/>
        </patternFill>
      </fill>
      <alignment horizontal="right" vertical="center" textRotation="0" wrapText="0" indent="0" justifyLastLine="0" shrinkToFit="0" readingOrder="0"/>
      <protection locked="0" hidden="0"/>
    </dxf>
    <dxf>
      <font>
        <i/>
      </font>
      <fill>
        <patternFill patternType="solid">
          <fgColor indexed="64"/>
          <bgColor theme="4" tint="0.89999084444715716"/>
        </patternFill>
      </fill>
      <alignment horizontal="left" vertical="bottom" textRotation="0" wrapText="0" indent="0" justifyLastLine="0" shrinkToFit="0" readingOrder="0"/>
      <protection locked="0" hidden="0"/>
    </dxf>
    <dxf>
      <font>
        <i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numFmt numFmtId="3" formatCode="#,##0"/>
      <fill>
        <patternFill patternType="solid">
          <fgColor indexed="64"/>
          <bgColor theme="3" tint="0.89999084444715716"/>
        </patternFill>
      </fill>
      <alignment horizontal="right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0.89999084444715716"/>
        </patternFill>
      </fill>
      <alignment horizontal="left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numFmt numFmtId="3" formatCode="#,##0"/>
      <fill>
        <patternFill patternType="solid">
          <fgColor indexed="64"/>
          <bgColor theme="3" tint="0.89999084444715716"/>
        </patternFill>
      </fill>
      <alignment horizontal="right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0.89999084444715716"/>
        </patternFill>
      </fill>
      <alignment horizontal="left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numFmt numFmtId="3" formatCode="#,##0"/>
      <fill>
        <patternFill patternType="solid">
          <fgColor indexed="64"/>
          <bgColor theme="3" tint="0.89999084444715716"/>
        </patternFill>
      </fill>
      <alignment horizontal="right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4" tint="0.89999084444715716"/>
        </patternFill>
      </fill>
      <alignment horizontal="left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4D4D4D"/>
        <name val="Arial Narrow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minor"/>
      </font>
      <fill>
        <patternFill patternType="solid">
          <fgColor indexed="64"/>
          <bgColor theme="0"/>
        </patternFill>
      </fill>
    </dxf>
  </dxfs>
  <tableStyles count="1" defaultTableStyle="TableStyleMedium2" defaultPivotStyle="PivotStyleLight16">
    <tableStyle name="Invisible" pivot="0" table="0" count="0" xr9:uid="{73251DF1-A3D8-445C-9C43-DE0004A0880F}"/>
  </tableStyles>
  <colors>
    <mruColors>
      <color rgb="FFB9DBFD"/>
      <color rgb="FFCC3300"/>
      <color rgb="FF354123"/>
      <color rgb="FF6E864A"/>
      <color rgb="FF17014F"/>
      <color rgb="FF25027E"/>
      <color rgb="FF4F80C1"/>
      <color rgb="FF044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rgbClr val="7B7B7B"/>
                </a:solidFill>
              </a:rPr>
              <a:t>Emissions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Emissions Forecast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'Simple Emissions Forecast'!$D$15:$AI$15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'Simple Emissions Forecast'!$D$16:$AI$16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7-4C3B-876B-F517E967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5665535"/>
        <c:axId val="465660735"/>
      </c:barChart>
      <c:lineChart>
        <c:grouping val="standard"/>
        <c:varyColors val="0"/>
        <c:ser>
          <c:idx val="2"/>
          <c:order val="1"/>
          <c:tx>
            <c:v>Emissions Baseline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'Simple Emissions Forecast'!$D$15:$AI$15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'Simple Emissions Forecast'!$D$12:$AI$12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7-4C3B-876B-F517E967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65535"/>
        <c:axId val="465660735"/>
      </c:lineChart>
      <c:catAx>
        <c:axId val="46566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660735"/>
        <c:crosses val="autoZero"/>
        <c:auto val="1"/>
        <c:lblAlgn val="ctr"/>
        <c:lblOffset val="100"/>
        <c:noMultiLvlLbl val="0"/>
      </c:catAx>
      <c:valAx>
        <c:axId val="46566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 (MTCO2</a:t>
                </a:r>
                <a:r>
                  <a:rPr lang="en-US" baseline="-25000"/>
                  <a:t>e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665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rgbClr val="7B7B7B"/>
                </a:solidFill>
              </a:rPr>
              <a:t>Emissions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Scope 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'Emissions Forecast Data'!$D$15:$AI$15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'Emissions Forecast Data'!$D$16:$AI$16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7-4AEC-90B2-5B80BEEF557C}"/>
            </c:ext>
          </c:extLst>
        </c:ser>
        <c:ser>
          <c:idx val="1"/>
          <c:order val="1"/>
          <c:tx>
            <c:v>Scope 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'Emissions Forecast Data'!$D$15:$AI$15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'Emissions Forecast Data'!$D$17:$AI$17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7-4AEC-90B2-5B80BEEF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5665535"/>
        <c:axId val="465660735"/>
      </c:barChart>
      <c:lineChart>
        <c:grouping val="standard"/>
        <c:varyColors val="0"/>
        <c:ser>
          <c:idx val="2"/>
          <c:order val="2"/>
          <c:tx>
            <c:strRef>
              <c:f>'Emissions Forecast Data'!$B$12</c:f>
              <c:strCache>
                <c:ptCount val="1"/>
                <c:pt idx="0">
                  <c:v>Total Baseline Emissions (Scope 1 + 2)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'Emissions Forecast Data'!$D$15:$AI$15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'Emissions Forecast Data'!$D$12:$AI$12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B7-4AEC-90B2-5B80BEEF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65535"/>
        <c:axId val="465660735"/>
      </c:lineChart>
      <c:catAx>
        <c:axId val="46566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660735"/>
        <c:crosses val="autoZero"/>
        <c:auto val="1"/>
        <c:lblAlgn val="ctr"/>
        <c:lblOffset val="100"/>
        <c:noMultiLvlLbl val="0"/>
      </c:catAx>
      <c:valAx>
        <c:axId val="46566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 (MTCO2</a:t>
                </a:r>
                <a:r>
                  <a:rPr lang="en-US" baseline="-25000"/>
                  <a:t>e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665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rgbClr val="7B7B7B"/>
                </a:solidFill>
              </a:rPr>
              <a:t>Emissions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Emissions Forecast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'Simple Emissions Forecast'!$D$15:$AI$15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'Simple Emissions Forecast'!$D$16:$AI$16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D-458E-9A03-F3733D351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5665535"/>
        <c:axId val="465660735"/>
      </c:barChart>
      <c:lineChart>
        <c:grouping val="standard"/>
        <c:varyColors val="0"/>
        <c:ser>
          <c:idx val="2"/>
          <c:order val="1"/>
          <c:tx>
            <c:v>Emissions Baseline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'Simple Emissions Forecast'!$D$15:$AI$15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'Simple Emissions Forecast'!$D$12:$AI$12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D-458E-9A03-F3733D351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65535"/>
        <c:axId val="465660735"/>
      </c:lineChart>
      <c:catAx>
        <c:axId val="46566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660735"/>
        <c:crosses val="autoZero"/>
        <c:auto val="1"/>
        <c:lblAlgn val="ctr"/>
        <c:lblOffset val="100"/>
        <c:noMultiLvlLbl val="0"/>
      </c:catAx>
      <c:valAx>
        <c:axId val="46566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 (MTCO2</a:t>
                </a:r>
                <a:r>
                  <a:rPr lang="en-US" baseline="-25000"/>
                  <a:t>e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665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Overall Enterprise Level</a:t>
            </a:r>
          </a:p>
        </c:rich>
      </c:tx>
      <c:layout>
        <c:manualLayout>
          <c:xMode val="edge"/>
          <c:yMode val="edge"/>
          <c:x val="5.1208815529116949E-2"/>
          <c:y val="2.3983509920580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39501689690913"/>
          <c:y val="0.26995948364859074"/>
          <c:w val="0.42496234758129475"/>
          <c:h val="0.59967856965371225"/>
        </c:manualLayout>
      </c:layout>
      <c:pieChart>
        <c:varyColors val="1"/>
        <c:ser>
          <c:idx val="1"/>
          <c:order val="1"/>
          <c:tx>
            <c:strRef>
              <c:f>'Facility Emissions'!$B$7</c:f>
              <c:strCache>
                <c:ptCount val="1"/>
                <c:pt idx="0">
                  <c:v>Site #1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22-4864-87BD-4FA7525B95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22-4864-87BD-4FA7525B95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22-4864-87BD-4FA7525B95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22-4864-87BD-4FA7525B95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22-4864-87BD-4FA7525B95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22-4864-87BD-4FA7525B95B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22-4864-87BD-4FA7525B95B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22-4864-87BD-4FA7525B95B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322-4864-87BD-4FA7525B95B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322-4864-87BD-4FA7525B95B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322-4864-87BD-4FA7525B95B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322-4864-87BD-4FA7525B95B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322-4864-87BD-4FA7525B95B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322-4864-87BD-4FA7525B95B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322-4864-87BD-4FA7525B95B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322-4864-87BD-4FA7525B95B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322-4864-87BD-4FA7525B95B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322-4864-87BD-4FA7525B95B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322-4864-87BD-4FA7525B95B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322-4864-87BD-4FA7525B95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'Facility Emissions'!$C$5:$V$5</c:f>
              <c:strCache>
                <c:ptCount val="20"/>
                <c:pt idx="0">
                  <c:v>Electricity (renewable purchased)</c:v>
                </c:pt>
                <c:pt idx="1">
                  <c:v>Natural Gas</c:v>
                </c:pt>
                <c:pt idx="2">
                  <c:v>Electricity (standard)</c:v>
                </c:pt>
                <c:pt idx="3">
                  <c:v>Natural Gas Liquids (NGLs)</c:v>
                </c:pt>
                <c:pt idx="4">
                  <c:v>Diesel Oil</c:v>
                </c:pt>
                <c:pt idx="5">
                  <c:v>Petrol/Gasoline</c:v>
                </c:pt>
                <c:pt idx="6">
                  <c:v>Kerosene</c:v>
                </c:pt>
                <c:pt idx="7">
                  <c:v>Coking Coal</c:v>
                </c:pt>
                <c:pt idx="8">
                  <c:v>Liquified petroleum gases</c:v>
                </c:pt>
                <c:pt idx="9">
                  <c:v>Crude Oil</c:v>
                </c:pt>
                <c:pt idx="10">
                  <c:v>Residual Fuel Oil</c:v>
                </c:pt>
                <c:pt idx="11">
                  <c:v>Shale Oil</c:v>
                </c:pt>
                <c:pt idx="12">
                  <c:v>Anthracite</c:v>
                </c:pt>
                <c:pt idx="13">
                  <c:v>Bitumen (Orimulsion)</c:v>
                </c:pt>
                <c:pt idx="14">
                  <c:v>Brown Coal (Lignite)</c:v>
                </c:pt>
                <c:pt idx="15">
                  <c:v>Sub-Bituminous coal</c:v>
                </c:pt>
                <c:pt idx="16">
                  <c:v>Petroleum coke</c:v>
                </c:pt>
                <c:pt idx="17">
                  <c:v>Purchased cooling</c:v>
                </c:pt>
                <c:pt idx="18">
                  <c:v>Purchased heat</c:v>
                </c:pt>
                <c:pt idx="19">
                  <c:v>Purchased steam</c:v>
                </c:pt>
              </c:strCache>
            </c:strRef>
          </c:cat>
          <c:val>
            <c:numRef>
              <c:f>'Facility Emissions'!$C$7:$V$7</c:f>
              <c:numCache>
                <c:formatCode>_(* #,##0.000000_);_(* \(#,##0.000000\);_(* "-"??_);_(@_)</c:formatCode>
                <c:ptCount val="2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0322-4864-87BD-4FA7525B95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'Facility Emissions'!$B$6</c15:sqref>
                        </c15:formulaRef>
                      </c:ext>
                    </c:extLst>
                    <c:strCache>
                      <c:ptCount val="1"/>
                      <c:pt idx="0">
                        <c:v>Overall Enterprise Level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0322-4864-87BD-4FA7525B95B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C-0322-4864-87BD-4FA7525B95B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E-0322-4864-87BD-4FA7525B95B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0-0322-4864-87BD-4FA7525B95B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2-0322-4864-87BD-4FA7525B95B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4-0322-4864-87BD-4FA7525B95B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322-4864-87BD-4FA7525B95B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8-0322-4864-87BD-4FA7525B95B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322-4864-87BD-4FA7525B95B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322-4864-87BD-4FA7525B95B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E-0322-4864-87BD-4FA7525B95B4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0-0322-4864-87BD-4FA7525B95B4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2-0322-4864-87BD-4FA7525B95B4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4-0322-4864-87BD-4FA7525B95B4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6-0322-4864-87BD-4FA7525B95B4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8-0322-4864-87BD-4FA7525B95B4}"/>
                    </c:ext>
                  </c:extLst>
                </c:dPt>
                <c:dPt>
                  <c:idx val="16"/>
                  <c:bubble3D val="0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A-0322-4864-87BD-4FA7525B95B4}"/>
                    </c:ext>
                  </c:extLst>
                </c:dPt>
                <c:dPt>
                  <c:idx val="17"/>
                  <c:bubble3D val="0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C-0322-4864-87BD-4FA7525B95B4}"/>
                    </c:ext>
                  </c:extLst>
                </c:dPt>
                <c:dPt>
                  <c:idx val="18"/>
                  <c:bubble3D val="0"/>
                  <c:spPr>
                    <a:solidFill>
                      <a:schemeClr val="accent1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E-0322-4864-87BD-4FA7525B95B4}"/>
                    </c:ext>
                  </c:extLst>
                </c:dPt>
                <c:dPt>
                  <c:idx val="19"/>
                  <c:bubble3D val="0"/>
                  <c:spPr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0-0322-4864-87BD-4FA7525B95B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'Facility Emissions'!$C$5:$V$5</c15:sqref>
                        </c15:formulaRef>
                      </c:ext>
                    </c:extLst>
                    <c:strCache>
                      <c:ptCount val="20"/>
                      <c:pt idx="0">
                        <c:v>Electricity (renewable purchased)</c:v>
                      </c:pt>
                      <c:pt idx="1">
                        <c:v>Natural Gas</c:v>
                      </c:pt>
                      <c:pt idx="2">
                        <c:v>Electricity (standard)</c:v>
                      </c:pt>
                      <c:pt idx="3">
                        <c:v>Natural Gas Liquids (NGLs)</c:v>
                      </c:pt>
                      <c:pt idx="4">
                        <c:v>Diesel Oil</c:v>
                      </c:pt>
                      <c:pt idx="5">
                        <c:v>Petrol/Gasoline</c:v>
                      </c:pt>
                      <c:pt idx="6">
                        <c:v>Kerosene</c:v>
                      </c:pt>
                      <c:pt idx="7">
                        <c:v>Coking Coal</c:v>
                      </c:pt>
                      <c:pt idx="8">
                        <c:v>Liquified petroleum gases</c:v>
                      </c:pt>
                      <c:pt idx="9">
                        <c:v>Crude Oil</c:v>
                      </c:pt>
                      <c:pt idx="10">
                        <c:v>Residual Fuel Oil</c:v>
                      </c:pt>
                      <c:pt idx="11">
                        <c:v>Shale Oil</c:v>
                      </c:pt>
                      <c:pt idx="12">
                        <c:v>Anthracite</c:v>
                      </c:pt>
                      <c:pt idx="13">
                        <c:v>Bitumen (Orimulsion)</c:v>
                      </c:pt>
                      <c:pt idx="14">
                        <c:v>Brown Coal (Lignite)</c:v>
                      </c:pt>
                      <c:pt idx="15">
                        <c:v>Sub-Bituminous coal</c:v>
                      </c:pt>
                      <c:pt idx="16">
                        <c:v>Petroleum coke</c:v>
                      </c:pt>
                      <c:pt idx="17">
                        <c:v>Purchased cooling</c:v>
                      </c:pt>
                      <c:pt idx="18">
                        <c:v>Purchased heat</c:v>
                      </c:pt>
                      <c:pt idx="19">
                        <c:v>Purchased steam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'Facility Emissions'!$C$6:$V$6</c15:sqref>
                        </c15:formulaRef>
                      </c:ext>
                    </c:extLst>
                    <c:numCache>
                      <c:formatCode>_(* #,##0.000000_);_(* \(#,##0.000000\);_(* "-"??_);_(@_)</c:formatCode>
                      <c:ptCount val="20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General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  <c:pt idx="11" formatCode="General">
                        <c:v>0</c:v>
                      </c:pt>
                      <c:pt idx="12" formatCode="General">
                        <c:v>0</c:v>
                      </c:pt>
                      <c:pt idx="13" formatCode="General">
                        <c:v>0</c:v>
                      </c:pt>
                      <c:pt idx="14" formatCode="General">
                        <c:v>0</c:v>
                      </c:pt>
                      <c:pt idx="15" formatCode="General">
                        <c:v>0</c:v>
                      </c:pt>
                      <c:pt idx="16" formatCode="General">
                        <c:v>0</c:v>
                      </c:pt>
                      <c:pt idx="17" formatCode="General">
                        <c:v>0</c:v>
                      </c:pt>
                      <c:pt idx="18" formatCode="General">
                        <c:v>0</c:v>
                      </c:pt>
                      <c:pt idx="19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51-0322-4864-87BD-4FA7525B95B4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54156468383461"/>
          <c:y val="4.1101268010057965E-2"/>
          <c:w val="0.34211275430361204"/>
          <c:h val="0.909868034041476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Overall Enterprise Level</a:t>
            </a:r>
          </a:p>
        </c:rich>
      </c:tx>
      <c:layout>
        <c:manualLayout>
          <c:xMode val="edge"/>
          <c:yMode val="edge"/>
          <c:x val="6.0265106243165396E-2"/>
          <c:y val="3.8305035362786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'Facility Emissions'!$Z$7</c:f>
              <c:strCache>
                <c:ptCount val="1"/>
                <c:pt idx="0">
                  <c:v>Site #1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51-4053-A1F2-D660953877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51-4053-A1F2-D660953877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'Facility Emissions'!$AA$5:$AB$5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'Facility Emissions'!$AA$7:$AB$7</c:f>
              <c:numCache>
                <c:formatCode>_(* #,##0.000000_);_(* \(#,##0.000000\);_(*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51-4053-A1F2-D6609538771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'Facility Emissions'!$Z$6</c15:sqref>
                        </c15:formulaRef>
                      </c:ext>
                    </c:extLst>
                    <c:strCache>
                      <c:ptCount val="1"/>
                      <c:pt idx="0">
                        <c:v>Overall Enterprise Level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D751-4053-A1F2-D6609538771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D751-4053-A1F2-D6609538771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'Facility Emissions'!$AA$5:$AB$5</c15:sqref>
                        </c15:formulaRef>
                      </c:ext>
                    </c:extLst>
                    <c:strCache>
                      <c:ptCount val="2"/>
                      <c:pt idx="0">
                        <c:v>Scope 1</c:v>
                      </c:pt>
                      <c:pt idx="1">
                        <c:v>Scope 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'Facility Emissions'!$AA$6:$AB$6</c15:sqref>
                        </c15:formulaRef>
                      </c:ext>
                    </c:extLst>
                    <c:numCache>
                      <c:formatCode>_(* #,##0.000000_);_(* \(#,##0.000000\);_(* "-"??_);_(@_)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D751-4053-A1F2-D6609538771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82021783539075"/>
          <c:y val="0.38568179339586423"/>
          <c:w val="0.19697434997639621"/>
          <c:h val="0.204858574212212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rgbClr val="4D4D4D">
                    <a:lumMod val="65000"/>
                    <a:lumOff val="35000"/>
                  </a:srgbClr>
                </a:solidFill>
              </a:rPr>
              <a:t>Scope 1 and 2 Emissions Breakdown by Site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'Facility Emissions'!$AA$5</c:f>
              <c:strCache>
                <c:ptCount val="1"/>
                <c:pt idx="0">
                  <c:v>Scope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'Facility Emissions'!$Z$6:$Z$16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Emissions'!$AA$6:$AA$16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9-4578-989B-510EE91D2E94}"/>
            </c:ext>
          </c:extLst>
        </c:ser>
        <c:ser>
          <c:idx val="1"/>
          <c:order val="1"/>
          <c:tx>
            <c:strRef>
              <c:f>'Facility Emissions'!$AB$5</c:f>
              <c:strCache>
                <c:ptCount val="1"/>
                <c:pt idx="0">
                  <c:v>Scope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'Facility Emissions'!$Z$6:$Z$16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Emissions'!$AB$6:$AB$16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9-4578-989B-510EE91D2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1469663"/>
        <c:axId val="1301470143"/>
      </c:barChart>
      <c:catAx>
        <c:axId val="13014696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470143"/>
        <c:crosses val="autoZero"/>
        <c:auto val="1"/>
        <c:lblAlgn val="ctr"/>
        <c:lblOffset val="100"/>
        <c:noMultiLvlLbl val="0"/>
      </c:catAx>
      <c:valAx>
        <c:axId val="1301470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Total Scope 1</a:t>
                </a:r>
                <a:r>
                  <a:rPr lang="en-US" baseline="0"/>
                  <a:t> and 2 Emissions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2">
                    <a:lumMod val="50000"/>
                  </a:schemeClr>
                </a:solidFill>
              </a:rPr>
              <a:t>Scope 1 + 2 Emissions by Activity by Site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'Facility Emissions'!$C$5</c:f>
              <c:strCache>
                <c:ptCount val="1"/>
                <c:pt idx="0">
                  <c:v>Electricity (renewable purchased)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Emissions'!$C$6:$C$16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B-4EB5-9C22-E438472C3F29}"/>
            </c:ext>
          </c:extLst>
        </c:ser>
        <c:ser>
          <c:idx val="1"/>
          <c:order val="1"/>
          <c:tx>
            <c:strRef>
              <c:f>'Facility Emissions'!$D$5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Emissions'!$D$6:$D$16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B-4EB5-9C22-E438472C3F29}"/>
            </c:ext>
          </c:extLst>
        </c:ser>
        <c:ser>
          <c:idx val="2"/>
          <c:order val="2"/>
          <c:tx>
            <c:strRef>
              <c:f>'Facility Emissions'!$E$5</c:f>
              <c:strCache>
                <c:ptCount val="1"/>
                <c:pt idx="0">
                  <c:v>Electricity (standard)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Emissions'!$E$6:$E$16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B-4EB5-9C22-E438472C3F29}"/>
            </c:ext>
          </c:extLst>
        </c:ser>
        <c:ser>
          <c:idx val="3"/>
          <c:order val="3"/>
          <c:tx>
            <c:strRef>
              <c:f>'Facility Emissions'!$F$5</c:f>
              <c:strCache>
                <c:ptCount val="1"/>
                <c:pt idx="0">
                  <c:v>Natural Gas Liquids (NGLs)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Emissions'!$F$6:$F$16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B-4EB5-9C22-E438472C3F29}"/>
            </c:ext>
          </c:extLst>
        </c:ser>
        <c:ser>
          <c:idx val="4"/>
          <c:order val="4"/>
          <c:tx>
            <c:strRef>
              <c:f>'Facility Emissions'!$G$5</c:f>
              <c:strCache>
                <c:ptCount val="1"/>
                <c:pt idx="0">
                  <c:v>Diesel Oil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Emissions'!$G$6:$G$16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8B-4EB5-9C22-E438472C3F29}"/>
            </c:ext>
          </c:extLst>
        </c:ser>
        <c:ser>
          <c:idx val="5"/>
          <c:order val="5"/>
          <c:tx>
            <c:strRef>
              <c:f>'Facility Emissions'!$H$5</c:f>
              <c:strCache>
                <c:ptCount val="1"/>
                <c:pt idx="0">
                  <c:v>Petrol/Gasoline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Emissions'!$H$6:$H$16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B-4EB5-9C22-E438472C3F29}"/>
            </c:ext>
          </c:extLst>
        </c:ser>
        <c:ser>
          <c:idx val="6"/>
          <c:order val="6"/>
          <c:tx>
            <c:strRef>
              <c:f>'Facility Emissions'!$I$5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Emissions'!$I$6:$I$16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8B-4EB5-9C22-E438472C3F29}"/>
            </c:ext>
          </c:extLst>
        </c:ser>
        <c:ser>
          <c:idx val="7"/>
          <c:order val="7"/>
          <c:tx>
            <c:strRef>
              <c:f>'Facility Emissions'!$J$5</c:f>
              <c:strCache>
                <c:ptCount val="1"/>
                <c:pt idx="0">
                  <c:v>Coking Coal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Emissions'!$J$6:$J$16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B-4EB5-9C22-E438472C3F29}"/>
            </c:ext>
          </c:extLst>
        </c:ser>
        <c:ser>
          <c:idx val="8"/>
          <c:order val="8"/>
          <c:tx>
            <c:strRef>
              <c:f>'Facility Emissions'!$K$5</c:f>
              <c:strCache>
                <c:ptCount val="1"/>
                <c:pt idx="0">
                  <c:v>Liquified petroleum gases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Emissions'!$K$6:$K$16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8B-4EB5-9C22-E438472C3F29}"/>
            </c:ext>
          </c:extLst>
        </c:ser>
        <c:ser>
          <c:idx val="9"/>
          <c:order val="9"/>
          <c:tx>
            <c:strRef>
              <c:f>'Facility Emissions'!$L$5</c:f>
              <c:strCache>
                <c:ptCount val="1"/>
                <c:pt idx="0">
                  <c:v>Crude Oil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Emissions'!$L$6:$L$16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B-4EB5-9C22-E438472C3F29}"/>
            </c:ext>
          </c:extLst>
        </c:ser>
        <c:ser>
          <c:idx val="10"/>
          <c:order val="10"/>
          <c:tx>
            <c:strRef>
              <c:f>'Facility Emissions'!$M$5</c:f>
              <c:strCache>
                <c:ptCount val="1"/>
                <c:pt idx="0">
                  <c:v>Residual Fuel Oil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Emissions'!$M$6:$M$16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8B-4EB5-9C22-E438472C3F29}"/>
            </c:ext>
          </c:extLst>
        </c:ser>
        <c:ser>
          <c:idx val="11"/>
          <c:order val="11"/>
          <c:tx>
            <c:strRef>
              <c:f>'Facility Emissions'!$N$5</c:f>
              <c:strCache>
                <c:ptCount val="1"/>
                <c:pt idx="0">
                  <c:v>Shale Oil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Emissions'!$N$6:$N$16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B-4EB5-9C22-E438472C3F29}"/>
            </c:ext>
          </c:extLst>
        </c:ser>
        <c:ser>
          <c:idx val="12"/>
          <c:order val="12"/>
          <c:tx>
            <c:strRef>
              <c:f>'Facility Emissions'!$O$5</c:f>
              <c:strCache>
                <c:ptCount val="1"/>
                <c:pt idx="0">
                  <c:v>Anthracite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Emissions'!$O$6:$O$16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8B-4EB5-9C22-E438472C3F29}"/>
            </c:ext>
          </c:extLst>
        </c:ser>
        <c:ser>
          <c:idx val="13"/>
          <c:order val="13"/>
          <c:tx>
            <c:strRef>
              <c:f>'Facility Emissions'!$P$5</c:f>
              <c:strCache>
                <c:ptCount val="1"/>
                <c:pt idx="0">
                  <c:v>Bitumen (Orimulsion)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Emissions'!$P$6:$P$16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B-4EB5-9C22-E438472C3F29}"/>
            </c:ext>
          </c:extLst>
        </c:ser>
        <c:ser>
          <c:idx val="14"/>
          <c:order val="14"/>
          <c:tx>
            <c:strRef>
              <c:f>'Facility Emissions'!$Q$5</c:f>
              <c:strCache>
                <c:ptCount val="1"/>
                <c:pt idx="0">
                  <c:v>Brown Coal (Lignite)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Emissions'!$Q$6:$Q$16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8B-4EB5-9C22-E438472C3F29}"/>
            </c:ext>
          </c:extLst>
        </c:ser>
        <c:ser>
          <c:idx val="15"/>
          <c:order val="15"/>
          <c:tx>
            <c:strRef>
              <c:f>'Facility Emissions'!$R$5</c:f>
              <c:strCache>
                <c:ptCount val="1"/>
                <c:pt idx="0">
                  <c:v>Sub-Bituminous coal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Emissions'!$R$6:$R$16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58B-4EB5-9C22-E438472C3F29}"/>
            </c:ext>
          </c:extLst>
        </c:ser>
        <c:ser>
          <c:idx val="16"/>
          <c:order val="16"/>
          <c:tx>
            <c:strRef>
              <c:f>'Facility Emissions'!$S$5</c:f>
              <c:strCache>
                <c:ptCount val="1"/>
                <c:pt idx="0">
                  <c:v>Petroleum coke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Emissions'!$S$6:$S$16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8B-4EB5-9C22-E438472C3F29}"/>
            </c:ext>
          </c:extLst>
        </c:ser>
        <c:ser>
          <c:idx val="17"/>
          <c:order val="17"/>
          <c:tx>
            <c:strRef>
              <c:f>'Facility Emissions'!$T$5</c:f>
              <c:strCache>
                <c:ptCount val="1"/>
                <c:pt idx="0">
                  <c:v>Purchased cooling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Emissions'!$T$6:$T$16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58B-4EB5-9C22-E438472C3F29}"/>
            </c:ext>
          </c:extLst>
        </c:ser>
        <c:ser>
          <c:idx val="18"/>
          <c:order val="18"/>
          <c:tx>
            <c:strRef>
              <c:f>'Facility Emissions'!$U$5</c:f>
              <c:strCache>
                <c:ptCount val="1"/>
                <c:pt idx="0">
                  <c:v>Purchased heat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Emissions'!$U$6:$U$16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8B-4EB5-9C22-E438472C3F29}"/>
            </c:ext>
          </c:extLst>
        </c:ser>
        <c:ser>
          <c:idx val="19"/>
          <c:order val="19"/>
          <c:tx>
            <c:strRef>
              <c:f>'Facility Emissions'!$V$5</c:f>
              <c:strCache>
                <c:ptCount val="1"/>
                <c:pt idx="0">
                  <c:v>Purchased steam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Emissions'!$V$6:$V$16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8B-4EB5-9C22-E438472C3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98533952"/>
        <c:axId val="1098534432"/>
      </c:barChart>
      <c:catAx>
        <c:axId val="1098533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534432"/>
        <c:crosses val="autoZero"/>
        <c:auto val="1"/>
        <c:lblAlgn val="ctr"/>
        <c:lblOffset val="100"/>
        <c:noMultiLvlLbl val="0"/>
      </c:catAx>
      <c:valAx>
        <c:axId val="10985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Scope 1 and 2 emissions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53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4D4D4D">
                    <a:lumMod val="65000"/>
                    <a:lumOff val="35000"/>
                  </a:srgbClr>
                </a:solidFill>
              </a:rPr>
              <a:t>Scope 1 and 2 Emissions Breakdown by Site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'Facility Emissions'!$AA$5</c:f>
              <c:strCache>
                <c:ptCount val="1"/>
                <c:pt idx="0">
                  <c:v>Scope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'Facility Emissions'!$Z$6:$Z$16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Emissions'!$AA$6:$AA$16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A-42B2-9755-452ECB8C81E0}"/>
            </c:ext>
          </c:extLst>
        </c:ser>
        <c:ser>
          <c:idx val="1"/>
          <c:order val="1"/>
          <c:tx>
            <c:strRef>
              <c:f>'Facility Emissions'!$AB$5</c:f>
              <c:strCache>
                <c:ptCount val="1"/>
                <c:pt idx="0">
                  <c:v>Scope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'Facility Emissions'!$Z$6:$Z$16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Emissions'!$AB$6:$AB$16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A-42B2-9755-452ECB8C8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1469663"/>
        <c:axId val="1301470143"/>
      </c:barChart>
      <c:catAx>
        <c:axId val="13014696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470143"/>
        <c:crosses val="autoZero"/>
        <c:auto val="1"/>
        <c:lblAlgn val="ctr"/>
        <c:lblOffset val="100"/>
        <c:noMultiLvlLbl val="0"/>
      </c:catAx>
      <c:valAx>
        <c:axId val="1301470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Total Scope 1</a:t>
                </a:r>
                <a:r>
                  <a:rPr lang="en-US" baseline="0"/>
                  <a:t> and 2 Emissions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'Facility Emissions'!$C$5</c:f>
              <c:strCache>
                <c:ptCount val="1"/>
                <c:pt idx="0">
                  <c:v>Electricity (renewable purchased)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Emissions'!$C$6:$C$16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9-4626-B82F-C4F0E72FA9B4}"/>
            </c:ext>
          </c:extLst>
        </c:ser>
        <c:ser>
          <c:idx val="1"/>
          <c:order val="1"/>
          <c:tx>
            <c:strRef>
              <c:f>'Facility Emissions'!$D$5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Emissions'!$D$6:$D$16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9-4626-B82F-C4F0E72FA9B4}"/>
            </c:ext>
          </c:extLst>
        </c:ser>
        <c:ser>
          <c:idx val="2"/>
          <c:order val="2"/>
          <c:tx>
            <c:strRef>
              <c:f>'Facility Emissions'!$E$5</c:f>
              <c:strCache>
                <c:ptCount val="1"/>
                <c:pt idx="0">
                  <c:v>Electricity (standard)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Emissions'!$E$6:$E$16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9-4626-B82F-C4F0E72FA9B4}"/>
            </c:ext>
          </c:extLst>
        </c:ser>
        <c:ser>
          <c:idx val="3"/>
          <c:order val="3"/>
          <c:tx>
            <c:strRef>
              <c:f>'Facility Emissions'!$F$5</c:f>
              <c:strCache>
                <c:ptCount val="1"/>
                <c:pt idx="0">
                  <c:v>Natural Gas Liquids (NGLs)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Emissions'!$F$6:$F$16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19-4626-B82F-C4F0E72FA9B4}"/>
            </c:ext>
          </c:extLst>
        </c:ser>
        <c:ser>
          <c:idx val="4"/>
          <c:order val="4"/>
          <c:tx>
            <c:strRef>
              <c:f>'Facility Emissions'!$G$5</c:f>
              <c:strCache>
                <c:ptCount val="1"/>
                <c:pt idx="0">
                  <c:v>Diesel Oil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Emissions'!$G$6:$G$16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19-4626-B82F-C4F0E72FA9B4}"/>
            </c:ext>
          </c:extLst>
        </c:ser>
        <c:ser>
          <c:idx val="5"/>
          <c:order val="5"/>
          <c:tx>
            <c:strRef>
              <c:f>'Facility Emissions'!$H$5</c:f>
              <c:strCache>
                <c:ptCount val="1"/>
                <c:pt idx="0">
                  <c:v>Petrol/Gasoline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Emissions'!$H$6:$H$16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19-4626-B82F-C4F0E72FA9B4}"/>
            </c:ext>
          </c:extLst>
        </c:ser>
        <c:ser>
          <c:idx val="6"/>
          <c:order val="6"/>
          <c:tx>
            <c:strRef>
              <c:f>'Facility Emissions'!$I$5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Emissions'!$I$6:$I$16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19-4626-B82F-C4F0E72FA9B4}"/>
            </c:ext>
          </c:extLst>
        </c:ser>
        <c:ser>
          <c:idx val="7"/>
          <c:order val="7"/>
          <c:tx>
            <c:strRef>
              <c:f>'Facility Emissions'!$J$5</c:f>
              <c:strCache>
                <c:ptCount val="1"/>
                <c:pt idx="0">
                  <c:v>Coking Coal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Emissions'!$J$6:$J$16</c:f>
              <c:numCache>
                <c:formatCode>_(* #,##0.000000_);_(* \(#,##0.000000\);_(*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19-4626-B82F-C4F0E72FA9B4}"/>
            </c:ext>
          </c:extLst>
        </c:ser>
        <c:ser>
          <c:idx val="8"/>
          <c:order val="8"/>
          <c:tx>
            <c:strRef>
              <c:f>'Facility Emissions'!$K$5</c:f>
              <c:strCache>
                <c:ptCount val="1"/>
                <c:pt idx="0">
                  <c:v>Liquified petroleum gases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Emissions'!$K$6:$K$16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19-4626-B82F-C4F0E72FA9B4}"/>
            </c:ext>
          </c:extLst>
        </c:ser>
        <c:ser>
          <c:idx val="9"/>
          <c:order val="9"/>
          <c:tx>
            <c:strRef>
              <c:f>'Facility Emissions'!$L$5</c:f>
              <c:strCache>
                <c:ptCount val="1"/>
                <c:pt idx="0">
                  <c:v>Crude Oil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Emissions'!$L$6:$L$16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19-4626-B82F-C4F0E72FA9B4}"/>
            </c:ext>
          </c:extLst>
        </c:ser>
        <c:ser>
          <c:idx val="10"/>
          <c:order val="10"/>
          <c:tx>
            <c:strRef>
              <c:f>'Facility Emissions'!$M$5</c:f>
              <c:strCache>
                <c:ptCount val="1"/>
                <c:pt idx="0">
                  <c:v>Residual Fuel Oil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Emissions'!$M$6:$M$16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19-4626-B82F-C4F0E72FA9B4}"/>
            </c:ext>
          </c:extLst>
        </c:ser>
        <c:ser>
          <c:idx val="11"/>
          <c:order val="11"/>
          <c:tx>
            <c:strRef>
              <c:f>'Facility Emissions'!$N$5</c:f>
              <c:strCache>
                <c:ptCount val="1"/>
                <c:pt idx="0">
                  <c:v>Shale Oil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Emissions'!$N$6:$N$16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519-4626-B82F-C4F0E72FA9B4}"/>
            </c:ext>
          </c:extLst>
        </c:ser>
        <c:ser>
          <c:idx val="12"/>
          <c:order val="12"/>
          <c:tx>
            <c:strRef>
              <c:f>'Facility Emissions'!$O$5</c:f>
              <c:strCache>
                <c:ptCount val="1"/>
                <c:pt idx="0">
                  <c:v>Anthracite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Emissions'!$O$6:$O$16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19-4626-B82F-C4F0E72FA9B4}"/>
            </c:ext>
          </c:extLst>
        </c:ser>
        <c:ser>
          <c:idx val="13"/>
          <c:order val="13"/>
          <c:tx>
            <c:strRef>
              <c:f>'Facility Emissions'!$P$5</c:f>
              <c:strCache>
                <c:ptCount val="1"/>
                <c:pt idx="0">
                  <c:v>Bitumen (Orimulsion)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Emissions'!$P$6:$P$16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19-4626-B82F-C4F0E72FA9B4}"/>
            </c:ext>
          </c:extLst>
        </c:ser>
        <c:ser>
          <c:idx val="14"/>
          <c:order val="14"/>
          <c:tx>
            <c:strRef>
              <c:f>'Facility Emissions'!$Q$5</c:f>
              <c:strCache>
                <c:ptCount val="1"/>
                <c:pt idx="0">
                  <c:v>Brown Coal (Lignite)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Emissions'!$Q$6:$Q$16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519-4626-B82F-C4F0E72FA9B4}"/>
            </c:ext>
          </c:extLst>
        </c:ser>
        <c:ser>
          <c:idx val="15"/>
          <c:order val="15"/>
          <c:tx>
            <c:strRef>
              <c:f>'Facility Emissions'!$R$5</c:f>
              <c:strCache>
                <c:ptCount val="1"/>
                <c:pt idx="0">
                  <c:v>Sub-Bituminous coal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Emissions'!$R$6:$R$16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519-4626-B82F-C4F0E72FA9B4}"/>
            </c:ext>
          </c:extLst>
        </c:ser>
        <c:ser>
          <c:idx val="16"/>
          <c:order val="16"/>
          <c:tx>
            <c:strRef>
              <c:f>'Facility Emissions'!$S$5</c:f>
              <c:strCache>
                <c:ptCount val="1"/>
                <c:pt idx="0">
                  <c:v>Petroleum coke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Emissions'!$S$6:$S$16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519-4626-B82F-C4F0E72FA9B4}"/>
            </c:ext>
          </c:extLst>
        </c:ser>
        <c:ser>
          <c:idx val="17"/>
          <c:order val="17"/>
          <c:tx>
            <c:strRef>
              <c:f>'Facility Emissions'!$T$5</c:f>
              <c:strCache>
                <c:ptCount val="1"/>
                <c:pt idx="0">
                  <c:v>Purchased cooling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Emissions'!$T$6:$T$16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519-4626-B82F-C4F0E72FA9B4}"/>
            </c:ext>
          </c:extLst>
        </c:ser>
        <c:ser>
          <c:idx val="18"/>
          <c:order val="18"/>
          <c:tx>
            <c:strRef>
              <c:f>'Facility Emissions'!$U$5</c:f>
              <c:strCache>
                <c:ptCount val="1"/>
                <c:pt idx="0">
                  <c:v>Purchased heat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Emissions'!$U$6:$U$16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19-4626-B82F-C4F0E72FA9B4}"/>
            </c:ext>
          </c:extLst>
        </c:ser>
        <c:ser>
          <c:idx val="19"/>
          <c:order val="19"/>
          <c:tx>
            <c:strRef>
              <c:f>'Facility Emissions'!$V$5</c:f>
              <c:strCache>
                <c:ptCount val="1"/>
                <c:pt idx="0">
                  <c:v>Purchased steam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'Facility Emissions'!$B$6:$B$16</c:f>
              <c:strCache>
                <c:ptCount val="11"/>
                <c:pt idx="0">
                  <c:v>Overall Enterprise Level</c:v>
                </c:pt>
                <c:pt idx="1">
                  <c:v>Site #1</c:v>
                </c:pt>
                <c:pt idx="2">
                  <c:v>Site #10</c:v>
                </c:pt>
                <c:pt idx="3">
                  <c:v>Site #2</c:v>
                </c:pt>
                <c:pt idx="4">
                  <c:v>Site #3</c:v>
                </c:pt>
                <c:pt idx="5">
                  <c:v>Site #4</c:v>
                </c:pt>
                <c:pt idx="6">
                  <c:v>Site #5</c:v>
                </c:pt>
                <c:pt idx="7">
                  <c:v>Site #6</c:v>
                </c:pt>
                <c:pt idx="8">
                  <c:v>Site #7</c:v>
                </c:pt>
                <c:pt idx="9">
                  <c:v>Site #8</c:v>
                </c:pt>
                <c:pt idx="10">
                  <c:v>Site #9</c:v>
                </c:pt>
              </c:strCache>
            </c:strRef>
          </c:cat>
          <c:val>
            <c:numRef>
              <c:f>'Facility Emissions'!$V$6:$V$16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519-4626-B82F-C4F0E72FA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98533952"/>
        <c:axId val="1098534432"/>
      </c:barChart>
      <c:catAx>
        <c:axId val="1098533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534432"/>
        <c:crosses val="autoZero"/>
        <c:auto val="1"/>
        <c:lblAlgn val="ctr"/>
        <c:lblOffset val="100"/>
        <c:noMultiLvlLbl val="0"/>
      </c:catAx>
      <c:valAx>
        <c:axId val="10985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53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'Facility Emissions'!$B$7</c:f>
              <c:strCache>
                <c:ptCount val="1"/>
                <c:pt idx="0">
                  <c:v>Site #1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9D-4CC3-AC8D-E3861CC896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9D-4CC3-AC8D-E3861CC896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9D-4CC3-AC8D-E3861CC896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9D-4CC3-AC8D-E3861CC896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9D-4CC3-AC8D-E3861CC896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19D-4CC3-AC8D-E3861CC896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19D-4CC3-AC8D-E3861CC896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19D-4CC3-AC8D-E3861CC896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19D-4CC3-AC8D-E3861CC896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9D-4CC3-AC8D-E3861CC896C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19D-4CC3-AC8D-E3861CC896C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19D-4CC3-AC8D-E3861CC896C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19D-4CC3-AC8D-E3861CC896C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19D-4CC3-AC8D-E3861CC896C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19D-4CC3-AC8D-E3861CC896C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19D-4CC3-AC8D-E3861CC896C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19D-4CC3-AC8D-E3861CC896C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19D-4CC3-AC8D-E3861CC896C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19D-4CC3-AC8D-E3861CC896C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19D-4CC3-AC8D-E3861CC89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'Facility Emissions'!$C$5:$V$5</c:f>
              <c:strCache>
                <c:ptCount val="20"/>
                <c:pt idx="0">
                  <c:v>Electricity (renewable purchased)</c:v>
                </c:pt>
                <c:pt idx="1">
                  <c:v>Natural Gas</c:v>
                </c:pt>
                <c:pt idx="2">
                  <c:v>Electricity (standard)</c:v>
                </c:pt>
                <c:pt idx="3">
                  <c:v>Natural Gas Liquids (NGLs)</c:v>
                </c:pt>
                <c:pt idx="4">
                  <c:v>Diesel Oil</c:v>
                </c:pt>
                <c:pt idx="5">
                  <c:v>Petrol/Gasoline</c:v>
                </c:pt>
                <c:pt idx="6">
                  <c:v>Kerosene</c:v>
                </c:pt>
                <c:pt idx="7">
                  <c:v>Coking Coal</c:v>
                </c:pt>
                <c:pt idx="8">
                  <c:v>Liquified petroleum gases</c:v>
                </c:pt>
                <c:pt idx="9">
                  <c:v>Crude Oil</c:v>
                </c:pt>
                <c:pt idx="10">
                  <c:v>Residual Fuel Oil</c:v>
                </c:pt>
                <c:pt idx="11">
                  <c:v>Shale Oil</c:v>
                </c:pt>
                <c:pt idx="12">
                  <c:v>Anthracite</c:v>
                </c:pt>
                <c:pt idx="13">
                  <c:v>Bitumen (Orimulsion)</c:v>
                </c:pt>
                <c:pt idx="14">
                  <c:v>Brown Coal (Lignite)</c:v>
                </c:pt>
                <c:pt idx="15">
                  <c:v>Sub-Bituminous coal</c:v>
                </c:pt>
                <c:pt idx="16">
                  <c:v>Petroleum coke</c:v>
                </c:pt>
                <c:pt idx="17">
                  <c:v>Purchased cooling</c:v>
                </c:pt>
                <c:pt idx="18">
                  <c:v>Purchased heat</c:v>
                </c:pt>
                <c:pt idx="19">
                  <c:v>Purchased steam</c:v>
                </c:pt>
              </c:strCache>
            </c:strRef>
          </c:cat>
          <c:val>
            <c:numRef>
              <c:f>'Facility Emissions'!$C$7:$V$7</c:f>
              <c:numCache>
                <c:formatCode>_(* #,##0.000000_);_(* \(#,##0.000000\);_(* "-"??_);_(@_)</c:formatCode>
                <c:ptCount val="2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2-4E8D-B3FC-AB8F561DB5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'Facility Emissions'!$B$6</c15:sqref>
                        </c15:formulaRef>
                      </c:ext>
                    </c:extLst>
                    <c:strCache>
                      <c:ptCount val="1"/>
                      <c:pt idx="0">
                        <c:v>Overall Enterprise Level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9-019D-4CC3-AC8D-E3861CC896C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B-019D-4CC3-AC8D-E3861CC896C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D-019D-4CC3-AC8D-E3861CC896C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F-019D-4CC3-AC8D-E3861CC896C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1-019D-4CC3-AC8D-E3861CC896C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3-019D-4CC3-AC8D-E3861CC896C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5-019D-4CC3-AC8D-E3861CC896C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7-019D-4CC3-AC8D-E3861CC896C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9-019D-4CC3-AC8D-E3861CC896C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B-019D-4CC3-AC8D-E3861CC896C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D-019D-4CC3-AC8D-E3861CC896CF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F-019D-4CC3-AC8D-E3861CC896CF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1-019D-4CC3-AC8D-E3861CC896CF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3-019D-4CC3-AC8D-E3861CC896CF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5-019D-4CC3-AC8D-E3861CC896CF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7-019D-4CC3-AC8D-E3861CC896CF}"/>
                    </c:ext>
                  </c:extLst>
                </c:dPt>
                <c:dPt>
                  <c:idx val="16"/>
                  <c:bubble3D val="0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9-019D-4CC3-AC8D-E3861CC896CF}"/>
                    </c:ext>
                  </c:extLst>
                </c:dPt>
                <c:dPt>
                  <c:idx val="17"/>
                  <c:bubble3D val="0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B-019D-4CC3-AC8D-E3861CC896CF}"/>
                    </c:ext>
                  </c:extLst>
                </c:dPt>
                <c:dPt>
                  <c:idx val="18"/>
                  <c:bubble3D val="0"/>
                  <c:spPr>
                    <a:solidFill>
                      <a:schemeClr val="accent1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D-019D-4CC3-AC8D-E3861CC896CF}"/>
                    </c:ext>
                  </c:extLst>
                </c:dPt>
                <c:dPt>
                  <c:idx val="19"/>
                  <c:bubble3D val="0"/>
                  <c:spPr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F-019D-4CC3-AC8D-E3861CC896C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'Facility Emissions'!$C$5:$V$5</c15:sqref>
                        </c15:formulaRef>
                      </c:ext>
                    </c:extLst>
                    <c:strCache>
                      <c:ptCount val="20"/>
                      <c:pt idx="0">
                        <c:v>Electricity (renewable purchased)</c:v>
                      </c:pt>
                      <c:pt idx="1">
                        <c:v>Natural Gas</c:v>
                      </c:pt>
                      <c:pt idx="2">
                        <c:v>Electricity (standard)</c:v>
                      </c:pt>
                      <c:pt idx="3">
                        <c:v>Natural Gas Liquids (NGLs)</c:v>
                      </c:pt>
                      <c:pt idx="4">
                        <c:v>Diesel Oil</c:v>
                      </c:pt>
                      <c:pt idx="5">
                        <c:v>Petrol/Gasoline</c:v>
                      </c:pt>
                      <c:pt idx="6">
                        <c:v>Kerosene</c:v>
                      </c:pt>
                      <c:pt idx="7">
                        <c:v>Coking Coal</c:v>
                      </c:pt>
                      <c:pt idx="8">
                        <c:v>Liquified petroleum gases</c:v>
                      </c:pt>
                      <c:pt idx="9">
                        <c:v>Crude Oil</c:v>
                      </c:pt>
                      <c:pt idx="10">
                        <c:v>Residual Fuel Oil</c:v>
                      </c:pt>
                      <c:pt idx="11">
                        <c:v>Shale Oil</c:v>
                      </c:pt>
                      <c:pt idx="12">
                        <c:v>Anthracite</c:v>
                      </c:pt>
                      <c:pt idx="13">
                        <c:v>Bitumen (Orimulsion)</c:v>
                      </c:pt>
                      <c:pt idx="14">
                        <c:v>Brown Coal (Lignite)</c:v>
                      </c:pt>
                      <c:pt idx="15">
                        <c:v>Sub-Bituminous coal</c:v>
                      </c:pt>
                      <c:pt idx="16">
                        <c:v>Petroleum coke</c:v>
                      </c:pt>
                      <c:pt idx="17">
                        <c:v>Purchased cooling</c:v>
                      </c:pt>
                      <c:pt idx="18">
                        <c:v>Purchased heat</c:v>
                      </c:pt>
                      <c:pt idx="19">
                        <c:v>Purchased steam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'Facility Emissions'!$C$6:$V$6</c15:sqref>
                        </c15:formulaRef>
                      </c:ext>
                    </c:extLst>
                    <c:numCache>
                      <c:formatCode>_(* #,##0.000000_);_(* \(#,##0.000000\);_(* "-"??_);_(@_)</c:formatCode>
                      <c:ptCount val="20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General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  <c:pt idx="11" formatCode="General">
                        <c:v>0</c:v>
                      </c:pt>
                      <c:pt idx="12" formatCode="General">
                        <c:v>0</c:v>
                      </c:pt>
                      <c:pt idx="13" formatCode="General">
                        <c:v>0</c:v>
                      </c:pt>
                      <c:pt idx="14" formatCode="General">
                        <c:v>0</c:v>
                      </c:pt>
                      <c:pt idx="15" formatCode="General">
                        <c:v>0</c:v>
                      </c:pt>
                      <c:pt idx="16" formatCode="General">
                        <c:v>0</c:v>
                      </c:pt>
                      <c:pt idx="17" formatCode="General">
                        <c:v>0</c:v>
                      </c:pt>
                      <c:pt idx="18" formatCode="General">
                        <c:v>0</c:v>
                      </c:pt>
                      <c:pt idx="19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1C2-4E8D-B3FC-AB8F561DB559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'Facility Emissions'!$Z$7</c:f>
              <c:strCache>
                <c:ptCount val="1"/>
                <c:pt idx="0">
                  <c:v>Site #1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40-4ACF-9A67-401E099299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440-4ACF-9A67-401E099299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'Facility Emissions'!$AA$5:$AB$5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'Facility Emissions'!$AA$7:$AB$7</c:f>
              <c:numCache>
                <c:formatCode>_(* #,##0.000000_);_(* \(#,##0.000000\);_(*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0-4ACF-9A67-401E099299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'Facility Emissions'!$Z$6</c15:sqref>
                        </c15:formulaRef>
                      </c:ext>
                    </c:extLst>
                    <c:strCache>
                      <c:ptCount val="1"/>
                      <c:pt idx="0">
                        <c:v>Overall Enterprise Level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142B-4DE4-B511-55A46E9AAC2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142B-4DE4-B511-55A46E9AAC2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'Facility Emissions'!$AA$5:$AB$5</c15:sqref>
                        </c15:formulaRef>
                      </c:ext>
                    </c:extLst>
                    <c:strCache>
                      <c:ptCount val="2"/>
                      <c:pt idx="0">
                        <c:v>Scope 1</c:v>
                      </c:pt>
                      <c:pt idx="1">
                        <c:v>Scope 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'Facility Emissions'!$AA$6:$AB$6</c15:sqref>
                        </c15:formulaRef>
                      </c:ext>
                    </c:extLst>
                    <c:numCache>
                      <c:formatCode>_(* #,##0.000000_);_(* \(#,##0.000000\);_(* "-"??_);_(@_)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440-4ACF-9A67-401E099299E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Scenario</a:t>
            </a:r>
            <a:r>
              <a:rPr lang="en-US" b="1" baseline="0"/>
              <a:t> 1:</a:t>
            </a:r>
          </a:p>
          <a:p>
            <a:pPr>
              <a:defRPr/>
            </a:pPr>
            <a:r>
              <a:rPr lang="en-US" b="1" baseline="0"/>
              <a:t>5.7% annual reduction until 2035 from 2019 baseline, starting in 2025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S1+2 Residual Emissions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'Goal Scenarios'!$F$12:$AI$12</c:f>
              <c:numCache>
                <c:formatCode>General</c:formatCode>
                <c:ptCount val="3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</c:numCache>
            </c:numRef>
          </c:cat>
          <c:val>
            <c:numRef>
              <c:f>'Goal Scenarios'!$F$13:$V$13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5-47B6-A942-5970D521555B}"/>
            </c:ext>
          </c:extLst>
        </c:ser>
        <c:ser>
          <c:idx val="1"/>
          <c:order val="1"/>
          <c:tx>
            <c:v>S1+2 Required Mitigation</c:v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'Goal Scenarios'!$F$12:$AI$12</c:f>
              <c:numCache>
                <c:formatCode>General</c:formatCode>
                <c:ptCount val="3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</c:numCache>
            </c:numRef>
          </c:cat>
          <c:val>
            <c:numRef>
              <c:f>'Goal Scenarios'!$F$18:$V$18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A5-47B6-A942-5970D5215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2005615"/>
        <c:axId val="882004367"/>
      </c:barChart>
      <c:lineChart>
        <c:grouping val="standard"/>
        <c:varyColors val="0"/>
        <c:ser>
          <c:idx val="3"/>
          <c:order val="2"/>
          <c:tx>
            <c:v>Total Emissions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'Goal Scenarios'!$F$12:$O$12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'Emissions Forecast Data'!$D$18:$T$18</c:f>
              <c:numCache>
                <c:formatCode>_(* #,##0_);_(* \(#,##0\);_(*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2A5-47B6-A942-5970D521555B}"/>
            </c:ext>
          </c:extLst>
        </c:ser>
        <c:ser>
          <c:idx val="2"/>
          <c:order val="3"/>
          <c:tx>
            <c:strRef>
              <c:f>'Goal Scenarios'!$B$7</c:f>
              <c:strCache>
                <c:ptCount val="1"/>
                <c:pt idx="0">
                  <c:v>Scenario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'Goal Scenarios'!$F$13:$V$13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A5-47B6-A942-5970D5215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005615"/>
        <c:axId val="882004367"/>
      </c:lineChart>
      <c:catAx>
        <c:axId val="88200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004367"/>
        <c:crosses val="autoZero"/>
        <c:auto val="1"/>
        <c:lblAlgn val="ctr"/>
        <c:lblOffset val="100"/>
        <c:noMultiLvlLbl val="0"/>
      </c:catAx>
      <c:valAx>
        <c:axId val="88200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7B7B7B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Emissions (MTCO</a:t>
                </a:r>
                <a:r>
                  <a:rPr lang="en-US" sz="1100" baseline="-25000"/>
                  <a:t>2</a:t>
                </a:r>
                <a:r>
                  <a:rPr lang="en-US" sz="1100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7B7B7B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005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rgbClr val="7B7B7B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Scenario 2: </a:t>
            </a:r>
          </a:p>
          <a:p>
            <a:pPr>
              <a:defRPr/>
            </a:pPr>
            <a:r>
              <a:rPr lang="en-US"/>
              <a:t>5.7% annual reduction until 2035 from 2019 baseline, starting in 2025; 2.86% annual reduction starting in 2036 until 100% goal is reached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S1+2 Residual Emissions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'Goal Scenarios'!$F$12:$AK$12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'Goal Scenarios'!$F$14:$AK$14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8-4153-8624-32DCCD5FACF6}"/>
            </c:ext>
          </c:extLst>
        </c:ser>
        <c:ser>
          <c:idx val="1"/>
          <c:order val="1"/>
          <c:tx>
            <c:v>S1+2 Required Mitigation</c:v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'Goal Scenarios'!$F$12:$AK$12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'Goal Scenarios'!$F$20:$AK$20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D8-4153-8624-32DCCD5FA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2005615"/>
        <c:axId val="882004367"/>
      </c:barChart>
      <c:lineChart>
        <c:grouping val="standard"/>
        <c:varyColors val="0"/>
        <c:ser>
          <c:idx val="2"/>
          <c:order val="2"/>
          <c:tx>
            <c:strRef>
              <c:f>'Goal Scenarios'!$B$8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'Goal Scenarios'!$F$12:$Y$12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'Goal Scenarios'!$F$14:$AK$14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D8-4153-8624-32DCCD5FACF6}"/>
            </c:ext>
          </c:extLst>
        </c:ser>
        <c:ser>
          <c:idx val="3"/>
          <c:order val="3"/>
          <c:tx>
            <c:v>Total Emissions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'Goal Scenarios'!$F$12:$Y$12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'Emissions Forecast Data'!$D$18:$AI$18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D8-4153-8624-32DCCD5FA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005615"/>
        <c:axId val="882004367"/>
      </c:lineChart>
      <c:catAx>
        <c:axId val="88200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004367"/>
        <c:crosses val="autoZero"/>
        <c:auto val="1"/>
        <c:lblAlgn val="ctr"/>
        <c:lblOffset val="100"/>
        <c:noMultiLvlLbl val="0"/>
      </c:catAx>
      <c:valAx>
        <c:axId val="88200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7B7B7B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 (MTCO</a:t>
                </a:r>
                <a:r>
                  <a:rPr lang="en-US" baseline="-25000"/>
                  <a:t>2</a:t>
                </a:r>
                <a:r>
                  <a:rPr lang="en-US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rgbClr val="7B7B7B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005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rgbClr val="7B7B7B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397637403865752E-2"/>
          <c:y val="5.0045624050170545E-2"/>
          <c:w val="0.7131272950760178"/>
          <c:h val="0.827079107811574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Transformation!$N$58</c:f>
              <c:strCache>
                <c:ptCount val="1"/>
                <c:pt idx="0">
                  <c:v>Remaining Emissions</c:v>
                </c:pt>
              </c:strCache>
            </c:strRef>
          </c:tx>
          <c:spPr>
            <a:solidFill>
              <a:srgbClr val="17014F"/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BBE-46F0-A94A-A96F365CF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Transformation!$O$58:$P$58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1-4967-AEA8-F5EFAFB14E79}"/>
            </c:ext>
          </c:extLst>
        </c:ser>
        <c:ser>
          <c:idx val="1"/>
          <c:order val="1"/>
          <c:tx>
            <c:strRef>
              <c:f>Transformation!$N$59</c:f>
              <c:strCache>
                <c:ptCount val="1"/>
                <c:pt idx="0">
                  <c:v>Greening of the Grid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Transformation!$O$59:$P$59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1-4967-AEA8-F5EFAFB14E79}"/>
            </c:ext>
          </c:extLst>
        </c:ser>
        <c:ser>
          <c:idx val="2"/>
          <c:order val="2"/>
          <c:tx>
            <c:strRef>
              <c:f>Transformation!$N$60</c:f>
              <c:strCache>
                <c:ptCount val="1"/>
                <c:pt idx="0">
                  <c:v>RECs</c:v>
                </c:pt>
              </c:strCache>
            </c:strRef>
          </c:tx>
          <c:spPr>
            <a:solidFill>
              <a:srgbClr val="EEAECF"/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Transformation!$O$60:$P$60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1-4967-AEA8-F5EFAFB14E79}"/>
            </c:ext>
          </c:extLst>
        </c:ser>
        <c:ser>
          <c:idx val="3"/>
          <c:order val="3"/>
          <c:tx>
            <c:strRef>
              <c:f>Transformation!$N$61</c:f>
              <c:strCache>
                <c:ptCount val="1"/>
                <c:pt idx="0">
                  <c:v>Utility Programs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Transformation!$O$61:$P$61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51-4967-AEA8-F5EFAFB14E79}"/>
            </c:ext>
          </c:extLst>
        </c:ser>
        <c:ser>
          <c:idx val="4"/>
          <c:order val="4"/>
          <c:tx>
            <c:strRef>
              <c:f>Transformation!$N$62</c:f>
              <c:strCache>
                <c:ptCount val="1"/>
                <c:pt idx="0">
                  <c:v>PPAs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Transformation!$O$62:$P$62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51-4967-AEA8-F5EFAFB14E79}"/>
            </c:ext>
          </c:extLst>
        </c:ser>
        <c:ser>
          <c:idx val="5"/>
          <c:order val="5"/>
          <c:tx>
            <c:strRef>
              <c:f>Transformation!$N$63</c:f>
              <c:strCache>
                <c:ptCount val="1"/>
                <c:pt idx="0">
                  <c:v>Onsite Solar</c:v>
                </c:pt>
              </c:strCache>
            </c:strRef>
          </c:tx>
          <c:spPr>
            <a:solidFill>
              <a:srgbClr val="354123"/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Transformation!$O$63:$P$63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51-4967-AEA8-F5EFAFB14E79}"/>
            </c:ext>
          </c:extLst>
        </c:ser>
        <c:ser>
          <c:idx val="6"/>
          <c:order val="6"/>
          <c:tx>
            <c:strRef>
              <c:f>Transformation!$N$64</c:f>
              <c:strCache>
                <c:ptCount val="1"/>
                <c:pt idx="0">
                  <c:v>Fuel Switching</c:v>
                </c:pt>
              </c:strCache>
            </c:strRef>
          </c:tx>
          <c:spPr>
            <a:solidFill>
              <a:srgbClr val="6E864A"/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Transformation!$O$64:$P$64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51-4967-AEA8-F5EFAFB14E79}"/>
            </c:ext>
          </c:extLst>
        </c:ser>
        <c:ser>
          <c:idx val="7"/>
          <c:order val="7"/>
          <c:tx>
            <c:strRef>
              <c:f>Transformation!$N$65</c:f>
              <c:strCache>
                <c:ptCount val="1"/>
                <c:pt idx="0">
                  <c:v>Electrification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Transformation!$O$65:$P$65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51-4967-AEA8-F5EFAFB14E79}"/>
            </c:ext>
          </c:extLst>
        </c:ser>
        <c:ser>
          <c:idx val="8"/>
          <c:order val="8"/>
          <c:tx>
            <c:strRef>
              <c:f>Transformation!$N$66</c:f>
              <c:strCache>
                <c:ptCount val="1"/>
                <c:pt idx="0">
                  <c:v>Energy Efficiency</c:v>
                </c:pt>
              </c:strCache>
            </c:strRef>
          </c:tx>
          <c:spPr>
            <a:solidFill>
              <a:srgbClr val="B9DBFD"/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Transformation!$O$66:$P$66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51-4967-AEA8-F5EFAFB14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903631"/>
        <c:axId val="165900271"/>
      </c:barChart>
      <c:lineChart>
        <c:grouping val="standard"/>
        <c:varyColors val="0"/>
        <c:ser>
          <c:idx val="9"/>
          <c:order val="9"/>
          <c:tx>
            <c:strRef>
              <c:f>Transformation!$N$68</c:f>
              <c:strCache>
                <c:ptCount val="1"/>
                <c:pt idx="0">
                  <c:v>2035 Goal 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7-4F21-BB20-4953E68AF575}"/>
                </c:ext>
              </c:extLst>
            </c:dLbl>
            <c:dLbl>
              <c:idx val="1"/>
              <c:layout>
                <c:manualLayout>
                  <c:x val="-0.27900405035323683"/>
                  <c:y val="-3.2132570989487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ln>
                        <a:noFill/>
                      </a:ln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7-4F21-BB20-4953E68AF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ln w="9525">
                      <a:noFill/>
                    </a:ln>
                    <a:noFill/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Transformation!$O$68:$P$68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57-4F21-BB20-4953E68AF575}"/>
            </c:ext>
          </c:extLst>
        </c:ser>
        <c:ser>
          <c:idx val="10"/>
          <c:order val="10"/>
          <c:tx>
            <c:strRef>
              <c:f>Transformation!$N$69</c:f>
              <c:strCache>
                <c:ptCount val="1"/>
                <c:pt idx="0">
                  <c:v>2050 Goal 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Transformation!$O$69:$P$69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57-4F21-BB20-4953E68AF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03631"/>
        <c:axId val="165900271"/>
      </c:lineChart>
      <c:catAx>
        <c:axId val="165903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0271"/>
        <c:crosses val="autoZero"/>
        <c:auto val="1"/>
        <c:lblAlgn val="ctr"/>
        <c:lblOffset val="100"/>
        <c:noMultiLvlLbl val="0"/>
      </c:catAx>
      <c:valAx>
        <c:axId val="165900271"/>
        <c:scaling>
          <c:orientation val="minMax"/>
          <c:max val="1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65903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5044541875119897"/>
          <c:y val="4.3530723249488097E-2"/>
          <c:w val="0.22770027545919191"/>
          <c:h val="0.84178260965284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Decarbonization by</a:t>
            </a:r>
            <a:r>
              <a:rPr lang="en-US" baseline="0"/>
              <a:t>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Transformation!$N$58</c:f>
              <c:strCache>
                <c:ptCount val="1"/>
                <c:pt idx="0">
                  <c:v>Remaining Emissions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Transformation!$O$58:$P$58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F-4D9E-A198-0E10EAAF1F79}"/>
            </c:ext>
          </c:extLst>
        </c:ser>
        <c:ser>
          <c:idx val="1"/>
          <c:order val="1"/>
          <c:tx>
            <c:strRef>
              <c:f>Transformation!$N$59</c:f>
              <c:strCache>
                <c:ptCount val="1"/>
                <c:pt idx="0">
                  <c:v>Greening of the Grid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Transformation!$O$59:$P$59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F-4D9E-A198-0E10EAAF1F79}"/>
            </c:ext>
          </c:extLst>
        </c:ser>
        <c:ser>
          <c:idx val="2"/>
          <c:order val="2"/>
          <c:tx>
            <c:strRef>
              <c:f>Transformation!$N$60</c:f>
              <c:strCache>
                <c:ptCount val="1"/>
                <c:pt idx="0">
                  <c:v>RECs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Transformation!$O$60:$P$60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F-4D9E-A198-0E10EAAF1F79}"/>
            </c:ext>
          </c:extLst>
        </c:ser>
        <c:ser>
          <c:idx val="3"/>
          <c:order val="3"/>
          <c:tx>
            <c:strRef>
              <c:f>Transformation!$N$61</c:f>
              <c:strCache>
                <c:ptCount val="1"/>
                <c:pt idx="0">
                  <c:v>Utility Programs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Transformation!$O$61:$P$61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BF-4D9E-A198-0E10EAAF1F79}"/>
            </c:ext>
          </c:extLst>
        </c:ser>
        <c:ser>
          <c:idx val="4"/>
          <c:order val="4"/>
          <c:tx>
            <c:strRef>
              <c:f>Transformation!$N$62</c:f>
              <c:strCache>
                <c:ptCount val="1"/>
                <c:pt idx="0">
                  <c:v>PPAs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Transformation!$O$62:$P$62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F-4D9E-A198-0E10EAAF1F79}"/>
            </c:ext>
          </c:extLst>
        </c:ser>
        <c:ser>
          <c:idx val="5"/>
          <c:order val="5"/>
          <c:tx>
            <c:strRef>
              <c:f>Transformation!$N$63</c:f>
              <c:strCache>
                <c:ptCount val="1"/>
                <c:pt idx="0">
                  <c:v>Onsite Solar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Transformation!$O$63:$P$63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BF-4D9E-A198-0E10EAAF1F79}"/>
            </c:ext>
          </c:extLst>
        </c:ser>
        <c:ser>
          <c:idx val="6"/>
          <c:order val="6"/>
          <c:tx>
            <c:strRef>
              <c:f>Transformation!$N$64</c:f>
              <c:strCache>
                <c:ptCount val="1"/>
                <c:pt idx="0">
                  <c:v>Fuel Switching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Transformation!$O$64:$P$64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BF-4D9E-A198-0E10EAAF1F79}"/>
            </c:ext>
          </c:extLst>
        </c:ser>
        <c:ser>
          <c:idx val="7"/>
          <c:order val="7"/>
          <c:tx>
            <c:strRef>
              <c:f>Transformation!$N$65</c:f>
              <c:strCache>
                <c:ptCount val="1"/>
                <c:pt idx="0">
                  <c:v>Electrification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Transformation!$O$65:$P$65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BF-4D9E-A198-0E10EAAF1F79}"/>
            </c:ext>
          </c:extLst>
        </c:ser>
        <c:ser>
          <c:idx val="8"/>
          <c:order val="8"/>
          <c:tx>
            <c:strRef>
              <c:f>Transformation!$N$66</c:f>
              <c:strCache>
                <c:ptCount val="1"/>
                <c:pt idx="0">
                  <c:v>Energy Efficiency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Transformation!$O$66:$P$66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BF-4D9E-A198-0E10EAAF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903631"/>
        <c:axId val="165900271"/>
      </c:barChart>
      <c:catAx>
        <c:axId val="16590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0271"/>
        <c:crosses val="autoZero"/>
        <c:auto val="1"/>
        <c:lblAlgn val="ctr"/>
        <c:lblOffset val="100"/>
        <c:noMultiLvlLbl val="0"/>
      </c:catAx>
      <c:valAx>
        <c:axId val="165900271"/>
        <c:scaling>
          <c:orientation val="minMax"/>
          <c:max val="1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5903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Scenario</a:t>
            </a:r>
            <a:r>
              <a:rPr lang="en-US" baseline="0"/>
              <a:t> 1:</a:t>
            </a:r>
          </a:p>
          <a:p>
            <a:pPr>
              <a:defRPr/>
            </a:pPr>
            <a:r>
              <a:rPr lang="en-US" baseline="0"/>
              <a:t>5.7% annual reduction until 2035 from 2019 baseline, starting in 2025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S1+2 Residual Emissions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'Goal Scenarios'!$F$12:$AI$12</c:f>
              <c:numCache>
                <c:formatCode>General</c:formatCode>
                <c:ptCount val="3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</c:numCache>
            </c:numRef>
          </c:cat>
          <c:val>
            <c:numRef>
              <c:f>'Goal Scenarios'!$F$13:$V$13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3-4862-BD83-79B198270B00}"/>
            </c:ext>
          </c:extLst>
        </c:ser>
        <c:ser>
          <c:idx val="1"/>
          <c:order val="1"/>
          <c:tx>
            <c:v>S1+2 Required Mitigation</c:v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'Goal Scenarios'!$F$12:$AI$12</c:f>
              <c:numCache>
                <c:formatCode>General</c:formatCode>
                <c:ptCount val="3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</c:numCache>
            </c:numRef>
          </c:cat>
          <c:val>
            <c:numRef>
              <c:f>'Goal Scenarios'!$F$18:$V$18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3-4862-BD83-79B198270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2005615"/>
        <c:axId val="882004367"/>
      </c:barChart>
      <c:lineChart>
        <c:grouping val="standard"/>
        <c:varyColors val="0"/>
        <c:ser>
          <c:idx val="3"/>
          <c:order val="2"/>
          <c:tx>
            <c:v>Total Emissions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'Goal Scenarios'!$F$12:$O$12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'Emissions Forecast Data'!$D$18:$T$18</c:f>
              <c:numCache>
                <c:formatCode>_(* #,##0_);_(* \(#,##0\);_(*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B3-4862-BD83-79B198270B00}"/>
            </c:ext>
          </c:extLst>
        </c:ser>
        <c:ser>
          <c:idx val="2"/>
          <c:order val="3"/>
          <c:tx>
            <c:strRef>
              <c:f>'Goal Scenarios'!$B$7</c:f>
              <c:strCache>
                <c:ptCount val="1"/>
                <c:pt idx="0">
                  <c:v>Scenario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'Goal Scenarios'!$F$13:$V$13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B3-4862-BD83-79B198270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005615"/>
        <c:axId val="882004367"/>
      </c:lineChart>
      <c:catAx>
        <c:axId val="88200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004367"/>
        <c:crosses val="autoZero"/>
        <c:auto val="1"/>
        <c:lblAlgn val="ctr"/>
        <c:lblOffset val="100"/>
        <c:noMultiLvlLbl val="0"/>
      </c:catAx>
      <c:valAx>
        <c:axId val="88200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7B7B7B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Emissions (MTCO</a:t>
                </a:r>
                <a:r>
                  <a:rPr lang="en-US" sz="1100" baseline="-25000"/>
                  <a:t>2</a:t>
                </a:r>
                <a:r>
                  <a:rPr lang="en-US" sz="1100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7B7B7B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005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rgbClr val="7B7B7B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Scenario 2: </a:t>
            </a:r>
          </a:p>
          <a:p>
            <a:pPr>
              <a:defRPr/>
            </a:pPr>
            <a:r>
              <a:rPr lang="en-US"/>
              <a:t>5.7% annual reduction until 2035 from 2019 baseline, starting in 2025; 2.86% annual reduction starting in 2036 until 100% goal is reached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S1+2 Residual Emissions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'Goal Scenarios'!$F$12:$AK$12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'Goal Scenarios'!$F$14:$AK$14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F-43B9-B67E-217815E4AC3B}"/>
            </c:ext>
          </c:extLst>
        </c:ser>
        <c:ser>
          <c:idx val="1"/>
          <c:order val="1"/>
          <c:tx>
            <c:v>S1+2 Required Mitigation</c:v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'Goal Scenarios'!$F$12:$AK$12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'Goal Scenarios'!$F$20:$AK$20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F-43B9-B67E-217815E4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2005615"/>
        <c:axId val="882004367"/>
      </c:barChart>
      <c:lineChart>
        <c:grouping val="standard"/>
        <c:varyColors val="0"/>
        <c:ser>
          <c:idx val="2"/>
          <c:order val="2"/>
          <c:tx>
            <c:strRef>
              <c:f>'Goal Scenarios'!$B$8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'Goal Scenarios'!$F$12:$Y$12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'Goal Scenarios'!$F$14:$AK$14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DF-43B9-B67E-217815E4AC3B}"/>
            </c:ext>
          </c:extLst>
        </c:ser>
        <c:ser>
          <c:idx val="3"/>
          <c:order val="3"/>
          <c:tx>
            <c:v>Total Emissions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'Goal Scenarios'!$F$12:$Y$12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'Emissions Forecast Data'!$D$18:$AI$18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DF-43B9-B67E-217815E4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005615"/>
        <c:axId val="882004367"/>
      </c:lineChart>
      <c:catAx>
        <c:axId val="88200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004367"/>
        <c:crosses val="autoZero"/>
        <c:auto val="1"/>
        <c:lblAlgn val="ctr"/>
        <c:lblOffset val="100"/>
        <c:noMultiLvlLbl val="0"/>
      </c:catAx>
      <c:valAx>
        <c:axId val="88200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7B7B7B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 (MTCO</a:t>
                </a:r>
                <a:r>
                  <a:rPr lang="en-US" baseline="-25000"/>
                  <a:t>2</a:t>
                </a:r>
                <a:r>
                  <a:rPr lang="en-US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rgbClr val="7B7B7B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005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rgbClr val="7B7B7B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2035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Transformation!$N$13</c:f>
              <c:strCache>
                <c:ptCount val="1"/>
                <c:pt idx="0">
                  <c:v>Remaining Emissions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Transformation!$P$13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C-4E64-9612-ADA30A0DA863}"/>
            </c:ext>
          </c:extLst>
        </c:ser>
        <c:ser>
          <c:idx val="1"/>
          <c:order val="1"/>
          <c:tx>
            <c:strRef>
              <c:f>Transformation!$N$14</c:f>
              <c:strCache>
                <c:ptCount val="1"/>
                <c:pt idx="0">
                  <c:v>GotG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Transformation!$P$14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C-4E64-9612-ADA30A0DA863}"/>
            </c:ext>
          </c:extLst>
        </c:ser>
        <c:ser>
          <c:idx val="2"/>
          <c:order val="2"/>
          <c:tx>
            <c:strRef>
              <c:f>Transformation!$N$15</c:f>
              <c:strCache>
                <c:ptCount val="1"/>
                <c:pt idx="0">
                  <c:v>RECs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Transformation!$P$15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5C-4E64-9612-ADA30A0DA863}"/>
            </c:ext>
          </c:extLst>
        </c:ser>
        <c:ser>
          <c:idx val="3"/>
          <c:order val="3"/>
          <c:tx>
            <c:strRef>
              <c:f>Transformation!$N$16</c:f>
              <c:strCache>
                <c:ptCount val="1"/>
                <c:pt idx="0">
                  <c:v>Utility Programs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Transformation!$P$16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5C-4E64-9612-ADA30A0DA863}"/>
            </c:ext>
          </c:extLst>
        </c:ser>
        <c:ser>
          <c:idx val="4"/>
          <c:order val="4"/>
          <c:tx>
            <c:strRef>
              <c:f>Transformation!$N$17</c:f>
              <c:strCache>
                <c:ptCount val="1"/>
                <c:pt idx="0">
                  <c:v>PPAs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Transformation!$P$17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5C-4E64-9612-ADA30A0DA863}"/>
            </c:ext>
          </c:extLst>
        </c:ser>
        <c:ser>
          <c:idx val="5"/>
          <c:order val="5"/>
          <c:tx>
            <c:strRef>
              <c:f>Transformation!$N$18</c:f>
              <c:strCache>
                <c:ptCount val="1"/>
                <c:pt idx="0">
                  <c:v>Onsite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Transformation!$P$18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5C-4E64-9612-ADA30A0DA863}"/>
            </c:ext>
          </c:extLst>
        </c:ser>
        <c:ser>
          <c:idx val="6"/>
          <c:order val="6"/>
          <c:tx>
            <c:strRef>
              <c:f>Transformation!$N$19</c:f>
              <c:strCache>
                <c:ptCount val="1"/>
                <c:pt idx="0">
                  <c:v>Fuel Switching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Transformation!$P$19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5C-4E64-9612-ADA30A0DA863}"/>
            </c:ext>
          </c:extLst>
        </c:ser>
        <c:ser>
          <c:idx val="7"/>
          <c:order val="7"/>
          <c:tx>
            <c:strRef>
              <c:f>Transformation!$N$20</c:f>
              <c:strCache>
                <c:ptCount val="1"/>
                <c:pt idx="0">
                  <c:v>Electrification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Transformation!$P$20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5C-4E64-9612-ADA30A0DA863}"/>
            </c:ext>
          </c:extLst>
        </c:ser>
        <c:ser>
          <c:idx val="8"/>
          <c:order val="8"/>
          <c:tx>
            <c:strRef>
              <c:f>Transformation!$N$21</c:f>
              <c:strCache>
                <c:ptCount val="1"/>
                <c:pt idx="0">
                  <c:v>Energy Efficiency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Transformation!$P$21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5C-4E64-9612-ADA30A0DA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7816944"/>
        <c:axId val="2057810704"/>
      </c:barChart>
      <c:catAx>
        <c:axId val="20578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810704"/>
        <c:crosses val="autoZero"/>
        <c:auto val="1"/>
        <c:lblAlgn val="ctr"/>
        <c:lblOffset val="100"/>
        <c:noMultiLvlLbl val="0"/>
      </c:catAx>
      <c:valAx>
        <c:axId val="2057810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8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Transformation!$N$41</c:f>
              <c:strCache>
                <c:ptCount val="1"/>
                <c:pt idx="0">
                  <c:v>Remaining Emissions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Transformation!$P$41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C-4113-875C-FD547D1381D1}"/>
            </c:ext>
          </c:extLst>
        </c:ser>
        <c:ser>
          <c:idx val="1"/>
          <c:order val="1"/>
          <c:tx>
            <c:strRef>
              <c:f>Transformation!$N$42</c:f>
              <c:strCache>
                <c:ptCount val="1"/>
                <c:pt idx="0">
                  <c:v>GotG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Transformation!$P$42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C-4113-875C-FD547D1381D1}"/>
            </c:ext>
          </c:extLst>
        </c:ser>
        <c:ser>
          <c:idx val="2"/>
          <c:order val="2"/>
          <c:tx>
            <c:strRef>
              <c:f>Transformation!$N$43</c:f>
              <c:strCache>
                <c:ptCount val="1"/>
                <c:pt idx="0">
                  <c:v>RECs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Transformation!$P$43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5C-4113-875C-FD547D1381D1}"/>
            </c:ext>
          </c:extLst>
        </c:ser>
        <c:ser>
          <c:idx val="3"/>
          <c:order val="3"/>
          <c:tx>
            <c:strRef>
              <c:f>Transformation!$N$44</c:f>
              <c:strCache>
                <c:ptCount val="1"/>
                <c:pt idx="0">
                  <c:v>Utility Programs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Transformation!$P$44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5C-4113-875C-FD547D1381D1}"/>
            </c:ext>
          </c:extLst>
        </c:ser>
        <c:ser>
          <c:idx val="4"/>
          <c:order val="4"/>
          <c:tx>
            <c:strRef>
              <c:f>Transformation!$N$45</c:f>
              <c:strCache>
                <c:ptCount val="1"/>
                <c:pt idx="0">
                  <c:v>PPAs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Transformation!$P$45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5C-4113-875C-FD547D1381D1}"/>
            </c:ext>
          </c:extLst>
        </c:ser>
        <c:ser>
          <c:idx val="5"/>
          <c:order val="5"/>
          <c:tx>
            <c:strRef>
              <c:f>Transformation!$N$46</c:f>
              <c:strCache>
                <c:ptCount val="1"/>
                <c:pt idx="0">
                  <c:v>Onsite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Transformation!$P$46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5C-4113-875C-FD547D1381D1}"/>
            </c:ext>
          </c:extLst>
        </c:ser>
        <c:ser>
          <c:idx val="6"/>
          <c:order val="6"/>
          <c:tx>
            <c:strRef>
              <c:f>Transformation!$N$47</c:f>
              <c:strCache>
                <c:ptCount val="1"/>
                <c:pt idx="0">
                  <c:v>Fuel Switching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Transformation!$P$47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5C-4113-875C-FD547D1381D1}"/>
            </c:ext>
          </c:extLst>
        </c:ser>
        <c:ser>
          <c:idx val="7"/>
          <c:order val="7"/>
          <c:tx>
            <c:strRef>
              <c:f>Transformation!$N$48</c:f>
              <c:strCache>
                <c:ptCount val="1"/>
                <c:pt idx="0">
                  <c:v>Electrification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Transformation!$P$48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5C-4113-875C-FD547D1381D1}"/>
            </c:ext>
          </c:extLst>
        </c:ser>
        <c:ser>
          <c:idx val="8"/>
          <c:order val="8"/>
          <c:tx>
            <c:strRef>
              <c:f>Transformation!$N$49</c:f>
              <c:strCache>
                <c:ptCount val="1"/>
                <c:pt idx="0">
                  <c:v>Energy Efficiency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Transformation!$P$49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5C-4113-875C-FD547D138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6533663"/>
        <c:axId val="1776534143"/>
      </c:barChart>
      <c:catAx>
        <c:axId val="1776533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534143"/>
        <c:crosses val="autoZero"/>
        <c:auto val="1"/>
        <c:lblAlgn val="ctr"/>
        <c:lblOffset val="100"/>
        <c:noMultiLvlLbl val="0"/>
      </c:catAx>
      <c:valAx>
        <c:axId val="1776534143"/>
        <c:scaling>
          <c:orientation val="minMax"/>
          <c:max val="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533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Transformation!$N$58</c:f>
              <c:strCache>
                <c:ptCount val="1"/>
                <c:pt idx="0">
                  <c:v>Remaining Emissions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Transformation!$O$58:$P$58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C-438B-826F-74148011E2D3}"/>
            </c:ext>
          </c:extLst>
        </c:ser>
        <c:ser>
          <c:idx val="1"/>
          <c:order val="1"/>
          <c:tx>
            <c:strRef>
              <c:f>Transformation!$N$59</c:f>
              <c:strCache>
                <c:ptCount val="1"/>
                <c:pt idx="0">
                  <c:v>Greening of the Grid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Transformation!$O$59:$P$59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4C-438B-826F-74148011E2D3}"/>
            </c:ext>
          </c:extLst>
        </c:ser>
        <c:ser>
          <c:idx val="2"/>
          <c:order val="2"/>
          <c:tx>
            <c:strRef>
              <c:f>Transformation!$N$60</c:f>
              <c:strCache>
                <c:ptCount val="1"/>
                <c:pt idx="0">
                  <c:v>RECs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Transformation!$O$60:$P$60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4C-438B-826F-74148011E2D3}"/>
            </c:ext>
          </c:extLst>
        </c:ser>
        <c:ser>
          <c:idx val="3"/>
          <c:order val="3"/>
          <c:tx>
            <c:strRef>
              <c:f>Transformation!$N$61</c:f>
              <c:strCache>
                <c:ptCount val="1"/>
                <c:pt idx="0">
                  <c:v>Utility Programs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Transformation!$O$61:$P$61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4C-438B-826F-74148011E2D3}"/>
            </c:ext>
          </c:extLst>
        </c:ser>
        <c:ser>
          <c:idx val="4"/>
          <c:order val="4"/>
          <c:tx>
            <c:strRef>
              <c:f>Transformation!$N$62</c:f>
              <c:strCache>
                <c:ptCount val="1"/>
                <c:pt idx="0">
                  <c:v>PPAs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Transformation!$O$62:$P$62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4C-438B-826F-74148011E2D3}"/>
            </c:ext>
          </c:extLst>
        </c:ser>
        <c:ser>
          <c:idx val="5"/>
          <c:order val="5"/>
          <c:tx>
            <c:strRef>
              <c:f>Transformation!$N$63</c:f>
              <c:strCache>
                <c:ptCount val="1"/>
                <c:pt idx="0">
                  <c:v>Onsite Solar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Transformation!$O$63:$P$63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24C-438B-826F-74148011E2D3}"/>
            </c:ext>
          </c:extLst>
        </c:ser>
        <c:ser>
          <c:idx val="6"/>
          <c:order val="6"/>
          <c:tx>
            <c:strRef>
              <c:f>Transformation!$N$64</c:f>
              <c:strCache>
                <c:ptCount val="1"/>
                <c:pt idx="0">
                  <c:v>Fuel Switching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Transformation!$O$64:$P$64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24C-438B-826F-74148011E2D3}"/>
            </c:ext>
          </c:extLst>
        </c:ser>
        <c:ser>
          <c:idx val="7"/>
          <c:order val="7"/>
          <c:tx>
            <c:strRef>
              <c:f>Transformation!$N$65</c:f>
              <c:strCache>
                <c:ptCount val="1"/>
                <c:pt idx="0">
                  <c:v>Electrification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Transformation!$O$65:$P$65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24C-438B-826F-74148011E2D3}"/>
            </c:ext>
          </c:extLst>
        </c:ser>
        <c:ser>
          <c:idx val="8"/>
          <c:order val="8"/>
          <c:tx>
            <c:strRef>
              <c:f>Transformation!$N$66</c:f>
              <c:strCache>
                <c:ptCount val="1"/>
                <c:pt idx="0">
                  <c:v>Energy Efficiency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Transformation!$O$57:$P$57</c:f>
              <c:numCache>
                <c:formatCode>General</c:formatCode>
                <c:ptCount val="2"/>
                <c:pt idx="0">
                  <c:v>2035</c:v>
                </c:pt>
                <c:pt idx="1">
                  <c:v>2050</c:v>
                </c:pt>
              </c:numCache>
            </c:numRef>
          </c:cat>
          <c:val>
            <c:numRef>
              <c:f>Transformation!$O$66:$P$66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24C-438B-826F-74148011E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903631"/>
        <c:axId val="165900271"/>
      </c:barChart>
      <c:catAx>
        <c:axId val="165903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0271"/>
        <c:crosses val="autoZero"/>
        <c:auto val="1"/>
        <c:lblAlgn val="ctr"/>
        <c:lblOffset val="100"/>
        <c:noMultiLvlLbl val="0"/>
      </c:catAx>
      <c:valAx>
        <c:axId val="16590027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3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Case 1: Near-term</a:t>
            </a:r>
            <a:r>
              <a:rPr lang="en-US" baseline="0"/>
              <a:t> SBT (FY2030) and Decarbonization Measures (Scope 1 and 2 only)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S1+2 Residual Emissions</c:v>
          </c:tx>
          <c:spPr>
            <a:solidFill>
              <a:schemeClr val="accent5"/>
            </a:solidFill>
            <a:ln w="15875" cap="rnd">
              <a:noFill/>
              <a:prstDash val="sysDash"/>
              <a:round/>
            </a:ln>
            <a:effectLst/>
          </c:spPr>
          <c:invertIfNegative val="0"/>
          <c:cat>
            <c:numRef>
              <c:f>'Decarbonization Scenarios_S1+2'!$C$28:$L$28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Scenarios_S1+2'!$C$22:$L$22</c:f>
              <c:numCache>
                <c:formatCode>#,##0</c:formatCode>
                <c:ptCount val="10"/>
                <c:pt idx="0">
                  <c:v>182841</c:v>
                </c:pt>
                <c:pt idx="1">
                  <c:v>174308.42</c:v>
                </c:pt>
                <c:pt idx="2">
                  <c:v>165775.84</c:v>
                </c:pt>
                <c:pt idx="3">
                  <c:v>157243.26</c:v>
                </c:pt>
                <c:pt idx="4">
                  <c:v>148710.68</c:v>
                </c:pt>
                <c:pt idx="5">
                  <c:v>140178.1</c:v>
                </c:pt>
                <c:pt idx="6">
                  <c:v>131645.52000000002</c:v>
                </c:pt>
                <c:pt idx="7">
                  <c:v>123112.94</c:v>
                </c:pt>
                <c:pt idx="8">
                  <c:v>114580.36</c:v>
                </c:pt>
                <c:pt idx="9">
                  <c:v>106047.78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6-42E0-A094-61DEFA8DE29B}"/>
            </c:ext>
          </c:extLst>
        </c:ser>
        <c:ser>
          <c:idx val="1"/>
          <c:order val="1"/>
          <c:tx>
            <c:v>Additional Mitigation Needed</c:v>
          </c:tx>
          <c:spPr>
            <a:pattFill prst="pct6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'Decarbonization Scenarios_S1+2'!$C$28:$L$28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Scenarios_S1+2'!$C$27:$L$27</c:f>
              <c:numCache>
                <c:formatCode>#,##0</c:formatCode>
                <c:ptCount val="10"/>
                <c:pt idx="0">
                  <c:v>0</c:v>
                </c:pt>
                <c:pt idx="1">
                  <c:v>21599.959871671454</c:v>
                </c:pt>
                <c:pt idx="2">
                  <c:v>14730.178569542048</c:v>
                </c:pt>
                <c:pt idx="3">
                  <c:v>22018.663268794786</c:v>
                </c:pt>
                <c:pt idx="4">
                  <c:v>27685.007307954038</c:v>
                </c:pt>
                <c:pt idx="5">
                  <c:v>21653.575862756796</c:v>
                </c:pt>
                <c:pt idx="6">
                  <c:v>15827.441967445389</c:v>
                </c:pt>
                <c:pt idx="7">
                  <c:v>10416.409276842576</c:v>
                </c:pt>
                <c:pt idx="8">
                  <c:v>5140.4824298864842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6-42E0-A094-61DEFA8DE29B}"/>
            </c:ext>
          </c:extLst>
        </c:ser>
        <c:ser>
          <c:idx val="4"/>
          <c:order val="4"/>
          <c:tx>
            <c:v>RE Procurement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'Decarbonization Scenarios_S1+2'!$C$28:$L$28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Scenarios_S1+2'!$C$23:$L$23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1534.6128242360846</c:v>
                </c:pt>
                <c:pt idx="3">
                  <c:v>3069.2256484721693</c:v>
                </c:pt>
                <c:pt idx="4">
                  <c:v>4603.8384727082539</c:v>
                </c:pt>
                <c:pt idx="5">
                  <c:v>6138.4512969443385</c:v>
                </c:pt>
                <c:pt idx="6">
                  <c:v>7673.0641211804232</c:v>
                </c:pt>
                <c:pt idx="7">
                  <c:v>9207.6769454165078</c:v>
                </c:pt>
                <c:pt idx="8">
                  <c:v>10742.289769652592</c:v>
                </c:pt>
                <c:pt idx="9">
                  <c:v>12276.902593888677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6-42E0-A094-61DEFA8DE29B}"/>
            </c:ext>
          </c:extLst>
        </c:ser>
        <c:ser>
          <c:idx val="5"/>
          <c:order val="5"/>
          <c:tx>
            <c:v>Efficiency 'Package'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'Decarbonization Scenarios_S1+2'!$C$28:$L$28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Scenarios_S1+2'!$C$24:$L$24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2280.313579926014</c:v>
                </c:pt>
                <c:pt idx="3">
                  <c:v>4560.6271598520279</c:v>
                </c:pt>
                <c:pt idx="4">
                  <c:v>6840.9407397780415</c:v>
                </c:pt>
                <c:pt idx="5">
                  <c:v>9121.2543197040559</c:v>
                </c:pt>
                <c:pt idx="6">
                  <c:v>11401.56789963007</c:v>
                </c:pt>
                <c:pt idx="7">
                  <c:v>13681.881479556083</c:v>
                </c:pt>
                <c:pt idx="8">
                  <c:v>15962.195059482097</c:v>
                </c:pt>
                <c:pt idx="9">
                  <c:v>18242.508639408112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46-42E0-A094-61DEFA8DE29B}"/>
            </c:ext>
          </c:extLst>
        </c:ser>
        <c:ser>
          <c:idx val="6"/>
          <c:order val="6"/>
          <c:tx>
            <c:v>Decommission RTOs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'Decarbonization Scenarios_S1+2'!$C$28:$L$28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Scenarios_S1+2'!$C$25:$L$25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10839.634946432565</c:v>
                </c:pt>
                <c:pt idx="6">
                  <c:v>21679.26989286513</c:v>
                </c:pt>
                <c:pt idx="7">
                  <c:v>32518.904839297698</c:v>
                </c:pt>
                <c:pt idx="8">
                  <c:v>43358.53978573026</c:v>
                </c:pt>
                <c:pt idx="9">
                  <c:v>54198.174732162828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6-42E0-A094-61DEFA8DE29B}"/>
            </c:ext>
          </c:extLst>
        </c:ser>
        <c:ser>
          <c:idx val="7"/>
          <c:order val="7"/>
          <c:tx>
            <c:v>Space &amp; Water Heating Electrification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'Decarbonization Scenarios_S1+2'!$C$28:$L$28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Scenarios_S1+2'!$C$26:$L$26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1359.6786185853468</c:v>
                </c:pt>
                <c:pt idx="6">
                  <c:v>2719.3572371706937</c:v>
                </c:pt>
                <c:pt idx="7">
                  <c:v>4079.0358557560403</c:v>
                </c:pt>
                <c:pt idx="8">
                  <c:v>5438.7144743413874</c:v>
                </c:pt>
                <c:pt idx="9">
                  <c:v>6798.3930929267344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46-42E0-A094-61DEFA8DE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2005615"/>
        <c:axId val="882004367"/>
      </c:barChart>
      <c:lineChart>
        <c:grouping val="standard"/>
        <c:varyColors val="0"/>
        <c:ser>
          <c:idx val="3"/>
          <c:order val="2"/>
          <c:tx>
            <c:v>Total S1+S2 Emissions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Scenarios_S1+2'!$C$20:$L$20</c:f>
              <c:numCache>
                <c:formatCode>#,##0</c:formatCode>
                <c:ptCount val="10"/>
                <c:pt idx="0">
                  <c:v>182841</c:v>
                </c:pt>
                <c:pt idx="1">
                  <c:v>195908.37987167147</c:v>
                </c:pt>
                <c:pt idx="2">
                  <c:v>184320.94497370414</c:v>
                </c:pt>
                <c:pt idx="3">
                  <c:v>186891.77607711899</c:v>
                </c:pt>
                <c:pt idx="4">
                  <c:v>187840.46652044033</c:v>
                </c:pt>
                <c:pt idx="5">
                  <c:v>189290.6950444231</c:v>
                </c:pt>
                <c:pt idx="6">
                  <c:v>190946.22111829172</c:v>
                </c:pt>
                <c:pt idx="7">
                  <c:v>193016.84839686891</c:v>
                </c:pt>
                <c:pt idx="8">
                  <c:v>195222.58151909281</c:v>
                </c:pt>
                <c:pt idx="9">
                  <c:v>197563.75905838635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46-42E0-A094-61DEFA8DE29B}"/>
            </c:ext>
          </c:extLst>
        </c:ser>
        <c:ser>
          <c:idx val="2"/>
          <c:order val="3"/>
          <c:tx>
            <c:v>Near-Term SBT (S1+S2)</c:v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Scenarios_S1+2'!$C$21:$L$21</c:f>
              <c:numCache>
                <c:formatCode>#,##0</c:formatCode>
                <c:ptCount val="10"/>
                <c:pt idx="0">
                  <c:v>182841</c:v>
                </c:pt>
                <c:pt idx="1">
                  <c:v>174308.42</c:v>
                </c:pt>
                <c:pt idx="2">
                  <c:v>165775.84</c:v>
                </c:pt>
                <c:pt idx="3">
                  <c:v>157243.26</c:v>
                </c:pt>
                <c:pt idx="4">
                  <c:v>148710.68</c:v>
                </c:pt>
                <c:pt idx="5">
                  <c:v>140178.1</c:v>
                </c:pt>
                <c:pt idx="6">
                  <c:v>131645.52000000002</c:v>
                </c:pt>
                <c:pt idx="7">
                  <c:v>123112.94</c:v>
                </c:pt>
                <c:pt idx="8">
                  <c:v>114580.36</c:v>
                </c:pt>
                <c:pt idx="9">
                  <c:v>106047.78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46-42E0-A094-61DEFA8DE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005615"/>
        <c:axId val="882004367"/>
      </c:lineChart>
      <c:catAx>
        <c:axId val="88200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004367"/>
        <c:crosses val="autoZero"/>
        <c:auto val="1"/>
        <c:lblAlgn val="ctr"/>
        <c:lblOffset val="100"/>
        <c:tickMarkSkip val="1"/>
        <c:noMultiLvlLbl val="0"/>
      </c:catAx>
      <c:valAx>
        <c:axId val="88200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7B7B7B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 (MTCO</a:t>
                </a:r>
                <a:r>
                  <a:rPr lang="en-US" baseline="-25000"/>
                  <a:t>2</a:t>
                </a:r>
                <a:r>
                  <a:rPr lang="en-US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rgbClr val="7B7B7B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005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rgbClr val="7B7B7B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Case 2: Near-term SBT (FY2030) and Decarbonization Measures (Scope 1 and 2 only)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0.13742547806524186"/>
          <c:y val="2.2474150303106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S1+2 Residual Emissions</c:v>
          </c:tx>
          <c:spPr>
            <a:solidFill>
              <a:schemeClr val="accent5"/>
            </a:solidFill>
            <a:ln w="15875" cap="rnd">
              <a:noFill/>
              <a:prstDash val="sysDash"/>
              <a:round/>
            </a:ln>
            <a:effectLst/>
          </c:spPr>
          <c:invertIfNegative val="0"/>
          <c:cat>
            <c:strRef>
              <c:f>'Decarbonization Scenarios_S1+2'!#REF!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'Decarbonization Scenarios_S1+2'!$C$39:$L$39</c:f>
              <c:numCache>
                <c:formatCode>#,##0</c:formatCode>
                <c:ptCount val="10"/>
                <c:pt idx="0">
                  <c:v>182841</c:v>
                </c:pt>
                <c:pt idx="1">
                  <c:v>174308.42</c:v>
                </c:pt>
                <c:pt idx="2">
                  <c:v>165775.84</c:v>
                </c:pt>
                <c:pt idx="3">
                  <c:v>157243.26</c:v>
                </c:pt>
                <c:pt idx="4">
                  <c:v>148710.68</c:v>
                </c:pt>
                <c:pt idx="5">
                  <c:v>140178.1</c:v>
                </c:pt>
                <c:pt idx="6">
                  <c:v>131645.52000000002</c:v>
                </c:pt>
                <c:pt idx="7">
                  <c:v>123112.94</c:v>
                </c:pt>
                <c:pt idx="8">
                  <c:v>114580.36</c:v>
                </c:pt>
                <c:pt idx="9">
                  <c:v>106047.78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D-4351-87B6-8DE266300414}"/>
            </c:ext>
          </c:extLst>
        </c:ser>
        <c:ser>
          <c:idx val="1"/>
          <c:order val="1"/>
          <c:tx>
            <c:v>Additional Mitigation Needed</c:v>
          </c:tx>
          <c:spPr>
            <a:pattFill prst="pct6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'Decarbonization Scenarios_S1+2'!#REF!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'Decarbonization Scenarios_S1+2'!$C$42:$L$42</c:f>
              <c:numCache>
                <c:formatCode>#,##0</c:formatCode>
                <c:ptCount val="10"/>
                <c:pt idx="0">
                  <c:v>0</c:v>
                </c:pt>
                <c:pt idx="1">
                  <c:v>21599.959871671454</c:v>
                </c:pt>
                <c:pt idx="2">
                  <c:v>7105.6075914058529</c:v>
                </c:pt>
                <c:pt idx="3">
                  <c:v>6769.5213125223963</c:v>
                </c:pt>
                <c:pt idx="4">
                  <c:v>4811.294373545461</c:v>
                </c:pt>
                <c:pt idx="5">
                  <c:v>3354.6055152299232</c:v>
                </c:pt>
                <c:pt idx="6">
                  <c:v>2103.2142068002358</c:v>
                </c:pt>
                <c:pt idx="7">
                  <c:v>1266.9241030791454</c:v>
                </c:pt>
                <c:pt idx="8">
                  <c:v>565.73984300474694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D-4351-87B6-8DE266300414}"/>
            </c:ext>
          </c:extLst>
        </c:ser>
        <c:ser>
          <c:idx val="4"/>
          <c:order val="4"/>
          <c:tx>
            <c:v>RE Procurement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Scenarios_S1+2'!$C$40:$L$40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9159.1838023722794</c:v>
                </c:pt>
                <c:pt idx="3">
                  <c:v>18318.367604744559</c:v>
                </c:pt>
                <c:pt idx="4">
                  <c:v>27477.551407116836</c:v>
                </c:pt>
                <c:pt idx="5">
                  <c:v>36636.735209489118</c:v>
                </c:pt>
                <c:pt idx="6">
                  <c:v>45795.919011861399</c:v>
                </c:pt>
                <c:pt idx="7">
                  <c:v>54955.10281423368</c:v>
                </c:pt>
                <c:pt idx="8">
                  <c:v>64114.286616605961</c:v>
                </c:pt>
                <c:pt idx="9">
                  <c:v>73273.470418978235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D-4351-87B6-8DE266300414}"/>
            </c:ext>
          </c:extLst>
        </c:ser>
        <c:ser>
          <c:idx val="5"/>
          <c:order val="5"/>
          <c:tx>
            <c:v>Efficiency 'Package'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Scenarios_S1+2'!$C$41:$L$41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2280.313579926014</c:v>
                </c:pt>
                <c:pt idx="3">
                  <c:v>4560.6271598520279</c:v>
                </c:pt>
                <c:pt idx="4">
                  <c:v>6840.9407397780415</c:v>
                </c:pt>
                <c:pt idx="5">
                  <c:v>9121.2543197040559</c:v>
                </c:pt>
                <c:pt idx="6">
                  <c:v>11401.56789963007</c:v>
                </c:pt>
                <c:pt idx="7">
                  <c:v>13681.881479556083</c:v>
                </c:pt>
                <c:pt idx="8">
                  <c:v>15962.195059482097</c:v>
                </c:pt>
                <c:pt idx="9">
                  <c:v>18242.508639408112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D-4351-87B6-8DE266300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2005615"/>
        <c:axId val="882004367"/>
      </c:barChart>
      <c:lineChart>
        <c:grouping val="standard"/>
        <c:varyColors val="0"/>
        <c:ser>
          <c:idx val="3"/>
          <c:order val="2"/>
          <c:tx>
            <c:v>Total S1+S2 Emissions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Scenarios_S1+2'!$C$37:$L$37</c:f>
              <c:numCache>
                <c:formatCode>#,##0</c:formatCode>
                <c:ptCount val="10"/>
                <c:pt idx="0">
                  <c:v>182841</c:v>
                </c:pt>
                <c:pt idx="1">
                  <c:v>195908.37987167147</c:v>
                </c:pt>
                <c:pt idx="2">
                  <c:v>184320.94497370414</c:v>
                </c:pt>
                <c:pt idx="3">
                  <c:v>186891.77607711899</c:v>
                </c:pt>
                <c:pt idx="4">
                  <c:v>187840.46652044033</c:v>
                </c:pt>
                <c:pt idx="5">
                  <c:v>189290.6950444231</c:v>
                </c:pt>
                <c:pt idx="6">
                  <c:v>190946.22111829172</c:v>
                </c:pt>
                <c:pt idx="7">
                  <c:v>193016.84839686891</c:v>
                </c:pt>
                <c:pt idx="8">
                  <c:v>195222.58151909281</c:v>
                </c:pt>
                <c:pt idx="9">
                  <c:v>197563.75905838635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D-4351-87B6-8DE266300414}"/>
            </c:ext>
          </c:extLst>
        </c:ser>
        <c:ser>
          <c:idx val="2"/>
          <c:order val="3"/>
          <c:tx>
            <c:v>Near-Term SBT (S1+S2)</c:v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Scenarios_S1+2'!$C$38:$L$38</c:f>
              <c:numCache>
                <c:formatCode>#,##0</c:formatCode>
                <c:ptCount val="10"/>
                <c:pt idx="0">
                  <c:v>182841</c:v>
                </c:pt>
                <c:pt idx="1">
                  <c:v>174308.42</c:v>
                </c:pt>
                <c:pt idx="2">
                  <c:v>165775.84</c:v>
                </c:pt>
                <c:pt idx="3">
                  <c:v>157243.26</c:v>
                </c:pt>
                <c:pt idx="4">
                  <c:v>148710.68</c:v>
                </c:pt>
                <c:pt idx="5">
                  <c:v>140178.1</c:v>
                </c:pt>
                <c:pt idx="6">
                  <c:v>131645.52000000002</c:v>
                </c:pt>
                <c:pt idx="7">
                  <c:v>123112.94</c:v>
                </c:pt>
                <c:pt idx="8">
                  <c:v>114580.36</c:v>
                </c:pt>
                <c:pt idx="9">
                  <c:v>106047.78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2D-4351-87B6-8DE266300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005615"/>
        <c:axId val="882004367"/>
      </c:lineChart>
      <c:catAx>
        <c:axId val="88200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004367"/>
        <c:crosses val="autoZero"/>
        <c:auto val="1"/>
        <c:lblAlgn val="ctr"/>
        <c:lblOffset val="100"/>
        <c:noMultiLvlLbl val="0"/>
      </c:catAx>
      <c:valAx>
        <c:axId val="88200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7B7B7B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 (MTCO</a:t>
                </a:r>
                <a:r>
                  <a:rPr lang="en-US" baseline="-25000"/>
                  <a:t>2</a:t>
                </a:r>
                <a:r>
                  <a:rPr lang="en-US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rgbClr val="7B7B7B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005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rgbClr val="7B7B7B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Case 1 Legend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5396825396824E-2"/>
          <c:y val="0.24113280638540346"/>
          <c:w val="0.95634920634920639"/>
          <c:h val="1.2204724409448819E-2"/>
        </c:manualLayout>
      </c:layout>
      <c:barChart>
        <c:barDir val="col"/>
        <c:grouping val="stacked"/>
        <c:varyColors val="0"/>
        <c:ser>
          <c:idx val="0"/>
          <c:order val="0"/>
          <c:tx>
            <c:v>S1+2 Residual Emissions</c:v>
          </c:tx>
          <c:spPr>
            <a:solidFill>
              <a:schemeClr val="accent5"/>
            </a:solidFill>
            <a:ln w="15875" cap="rnd">
              <a:noFill/>
              <a:prstDash val="sysDash"/>
              <a:round/>
            </a:ln>
            <a:effectLst/>
          </c:spPr>
          <c:invertIfNegative val="0"/>
          <c:cat>
            <c:strRef>
              <c:f>'Decarbonization Scenarios_S1+2'!#REF!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'Decarbonization Scenarios_S1+2'!$C$22:$L$22</c:f>
              <c:numCache>
                <c:formatCode>#,##0</c:formatCode>
                <c:ptCount val="10"/>
                <c:pt idx="0">
                  <c:v>182841</c:v>
                </c:pt>
                <c:pt idx="1">
                  <c:v>174308.42</c:v>
                </c:pt>
                <c:pt idx="2">
                  <c:v>165775.84</c:v>
                </c:pt>
                <c:pt idx="3">
                  <c:v>157243.26</c:v>
                </c:pt>
                <c:pt idx="4">
                  <c:v>148710.68</c:v>
                </c:pt>
                <c:pt idx="5">
                  <c:v>140178.1</c:v>
                </c:pt>
                <c:pt idx="6">
                  <c:v>131645.52000000002</c:v>
                </c:pt>
                <c:pt idx="7">
                  <c:v>123112.94</c:v>
                </c:pt>
                <c:pt idx="8">
                  <c:v>114580.36</c:v>
                </c:pt>
                <c:pt idx="9">
                  <c:v>106047.78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0-46AF-9C7D-54B38FC901CD}"/>
            </c:ext>
          </c:extLst>
        </c:ser>
        <c:ser>
          <c:idx val="1"/>
          <c:order val="1"/>
          <c:tx>
            <c:v>Additional Mitigation Needed</c:v>
          </c:tx>
          <c:spPr>
            <a:pattFill prst="pct6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'Decarbonization Scenarios_S1+2'!#REF!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'Decarbonization Scenarios_S1+2'!$C$27:$L$27</c:f>
              <c:numCache>
                <c:formatCode>#,##0</c:formatCode>
                <c:ptCount val="10"/>
                <c:pt idx="0">
                  <c:v>0</c:v>
                </c:pt>
                <c:pt idx="1">
                  <c:v>21599.959871671454</c:v>
                </c:pt>
                <c:pt idx="2">
                  <c:v>14730.178569542048</c:v>
                </c:pt>
                <c:pt idx="3">
                  <c:v>22018.663268794786</c:v>
                </c:pt>
                <c:pt idx="4">
                  <c:v>27685.007307954038</c:v>
                </c:pt>
                <c:pt idx="5">
                  <c:v>21653.575862756796</c:v>
                </c:pt>
                <c:pt idx="6">
                  <c:v>15827.441967445389</c:v>
                </c:pt>
                <c:pt idx="7">
                  <c:v>10416.409276842576</c:v>
                </c:pt>
                <c:pt idx="8">
                  <c:v>5140.4824298864842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0-46AF-9C7D-54B38FC901CD}"/>
            </c:ext>
          </c:extLst>
        </c:ser>
        <c:ser>
          <c:idx val="5"/>
          <c:order val="4"/>
          <c:tx>
            <c:v>Efficiency 'Package'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Scenarios_S1+2'!$C$24:$L$24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2280.313579926014</c:v>
                </c:pt>
                <c:pt idx="3">
                  <c:v>4560.6271598520279</c:v>
                </c:pt>
                <c:pt idx="4">
                  <c:v>6840.9407397780415</c:v>
                </c:pt>
                <c:pt idx="5">
                  <c:v>9121.2543197040559</c:v>
                </c:pt>
                <c:pt idx="6">
                  <c:v>11401.56789963007</c:v>
                </c:pt>
                <c:pt idx="7">
                  <c:v>13681.881479556083</c:v>
                </c:pt>
                <c:pt idx="8">
                  <c:v>15962.195059482097</c:v>
                </c:pt>
                <c:pt idx="9">
                  <c:v>18242.508639408112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90-46AF-9C7D-54B38FC901CD}"/>
            </c:ext>
          </c:extLst>
        </c:ser>
        <c:ser>
          <c:idx val="7"/>
          <c:order val="5"/>
          <c:tx>
            <c:v>Space &amp; Water Heating Electrification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Scenarios_S1+2'!$C$26:$L$26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1359.6786185853468</c:v>
                </c:pt>
                <c:pt idx="6">
                  <c:v>2719.3572371706937</c:v>
                </c:pt>
                <c:pt idx="7">
                  <c:v>4079.0358557560403</c:v>
                </c:pt>
                <c:pt idx="8">
                  <c:v>5438.7144743413874</c:v>
                </c:pt>
                <c:pt idx="9">
                  <c:v>6798.3930929267344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90-46AF-9C7D-54B38FC901CD}"/>
            </c:ext>
          </c:extLst>
        </c:ser>
        <c:ser>
          <c:idx val="4"/>
          <c:order val="6"/>
          <c:tx>
            <c:v>RE Procurement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Scenarios_S1+2'!$C$23:$L$23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1534.6128242360846</c:v>
                </c:pt>
                <c:pt idx="3">
                  <c:v>3069.2256484721693</c:v>
                </c:pt>
                <c:pt idx="4">
                  <c:v>4603.8384727082539</c:v>
                </c:pt>
                <c:pt idx="5">
                  <c:v>6138.4512969443385</c:v>
                </c:pt>
                <c:pt idx="6">
                  <c:v>7673.0641211804232</c:v>
                </c:pt>
                <c:pt idx="7">
                  <c:v>9207.6769454165078</c:v>
                </c:pt>
                <c:pt idx="8">
                  <c:v>10742.289769652592</c:v>
                </c:pt>
                <c:pt idx="9">
                  <c:v>12276.902593888677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90-46AF-9C7D-54B38FC901CD}"/>
            </c:ext>
          </c:extLst>
        </c:ser>
        <c:ser>
          <c:idx val="6"/>
          <c:order val="7"/>
          <c:tx>
            <c:v>Decommission RTOs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Scenarios_S1+2'!$C$25:$L$25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10839.634946432565</c:v>
                </c:pt>
                <c:pt idx="6">
                  <c:v>21679.26989286513</c:v>
                </c:pt>
                <c:pt idx="7">
                  <c:v>32518.904839297698</c:v>
                </c:pt>
                <c:pt idx="8">
                  <c:v>43358.53978573026</c:v>
                </c:pt>
                <c:pt idx="9">
                  <c:v>54198.174732162828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90-46AF-9C7D-54B38FC90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2005615"/>
        <c:axId val="882004367"/>
      </c:barChart>
      <c:lineChart>
        <c:grouping val="standard"/>
        <c:varyColors val="0"/>
        <c:ser>
          <c:idx val="3"/>
          <c:order val="2"/>
          <c:tx>
            <c:v>Total S1+S2 Emissions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Scenarios_S1+2'!$C$20:$L$20</c:f>
              <c:numCache>
                <c:formatCode>#,##0</c:formatCode>
                <c:ptCount val="10"/>
                <c:pt idx="0">
                  <c:v>182841</c:v>
                </c:pt>
                <c:pt idx="1">
                  <c:v>195908.37987167147</c:v>
                </c:pt>
                <c:pt idx="2">
                  <c:v>184320.94497370414</c:v>
                </c:pt>
                <c:pt idx="3">
                  <c:v>186891.77607711899</c:v>
                </c:pt>
                <c:pt idx="4">
                  <c:v>187840.46652044033</c:v>
                </c:pt>
                <c:pt idx="5">
                  <c:v>189290.6950444231</c:v>
                </c:pt>
                <c:pt idx="6">
                  <c:v>190946.22111829172</c:v>
                </c:pt>
                <c:pt idx="7">
                  <c:v>193016.84839686891</c:v>
                </c:pt>
                <c:pt idx="8">
                  <c:v>195222.58151909281</c:v>
                </c:pt>
                <c:pt idx="9">
                  <c:v>197563.75905838635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90-46AF-9C7D-54B38FC901CD}"/>
            </c:ext>
          </c:extLst>
        </c:ser>
        <c:ser>
          <c:idx val="2"/>
          <c:order val="3"/>
          <c:tx>
            <c:v>Near-Term SBT (S1+S2)</c:v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Scenarios_S1+2'!$C$21:$L$21</c:f>
              <c:numCache>
                <c:formatCode>#,##0</c:formatCode>
                <c:ptCount val="10"/>
                <c:pt idx="0">
                  <c:v>182841</c:v>
                </c:pt>
                <c:pt idx="1">
                  <c:v>174308.42</c:v>
                </c:pt>
                <c:pt idx="2">
                  <c:v>165775.84</c:v>
                </c:pt>
                <c:pt idx="3">
                  <c:v>157243.26</c:v>
                </c:pt>
                <c:pt idx="4">
                  <c:v>148710.68</c:v>
                </c:pt>
                <c:pt idx="5">
                  <c:v>140178.1</c:v>
                </c:pt>
                <c:pt idx="6">
                  <c:v>131645.52000000002</c:v>
                </c:pt>
                <c:pt idx="7">
                  <c:v>123112.94</c:v>
                </c:pt>
                <c:pt idx="8">
                  <c:v>114580.36</c:v>
                </c:pt>
                <c:pt idx="9">
                  <c:v>106047.78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90-46AF-9C7D-54B38FC90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005615"/>
        <c:axId val="882004367"/>
      </c:lineChart>
      <c:catAx>
        <c:axId val="8820056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82004367"/>
        <c:crosses val="autoZero"/>
        <c:auto val="1"/>
        <c:lblAlgn val="ctr"/>
        <c:lblOffset val="100"/>
        <c:noMultiLvlLbl val="0"/>
      </c:catAx>
      <c:valAx>
        <c:axId val="88200436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882005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920052745858976E-2"/>
          <c:y val="0.40849868766404202"/>
          <c:w val="0.92568128090033774"/>
          <c:h val="0.537200599925009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rgbClr val="7B7B7B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rgbClr val="7B7B7B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Case 2 Legend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5396825396824E-2"/>
          <c:y val="0.24113280638540346"/>
          <c:w val="0.95634920634920639"/>
          <c:h val="1.2204724409448819E-2"/>
        </c:manualLayout>
      </c:layout>
      <c:barChart>
        <c:barDir val="col"/>
        <c:grouping val="stacked"/>
        <c:varyColors val="0"/>
        <c:ser>
          <c:idx val="0"/>
          <c:order val="0"/>
          <c:tx>
            <c:v>S1+2 Residual Emissions</c:v>
          </c:tx>
          <c:spPr>
            <a:solidFill>
              <a:schemeClr val="accent5"/>
            </a:solidFill>
            <a:ln w="15875" cap="rnd">
              <a:noFill/>
              <a:prstDash val="sysDash"/>
              <a:round/>
            </a:ln>
            <a:effectLst/>
          </c:spPr>
          <c:invertIfNegative val="0"/>
          <c:cat>
            <c:strRef>
              <c:f>'Decarbonization Scenarios_S1+2'!#REF!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'Decarbonization Scenarios_S1+2'!$C$22:$L$22</c:f>
              <c:numCache>
                <c:formatCode>#,##0</c:formatCode>
                <c:ptCount val="10"/>
                <c:pt idx="0">
                  <c:v>182841</c:v>
                </c:pt>
                <c:pt idx="1">
                  <c:v>174308.42</c:v>
                </c:pt>
                <c:pt idx="2">
                  <c:v>165775.84</c:v>
                </c:pt>
                <c:pt idx="3">
                  <c:v>157243.26</c:v>
                </c:pt>
                <c:pt idx="4">
                  <c:v>148710.68</c:v>
                </c:pt>
                <c:pt idx="5">
                  <c:v>140178.1</c:v>
                </c:pt>
                <c:pt idx="6">
                  <c:v>131645.52000000002</c:v>
                </c:pt>
                <c:pt idx="7">
                  <c:v>123112.94</c:v>
                </c:pt>
                <c:pt idx="8">
                  <c:v>114580.36</c:v>
                </c:pt>
                <c:pt idx="9">
                  <c:v>106047.78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1-45CF-9829-7606DFC638E8}"/>
            </c:ext>
          </c:extLst>
        </c:ser>
        <c:ser>
          <c:idx val="5"/>
          <c:order val="3"/>
          <c:tx>
            <c:v>Efficiency 'Package'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Scenarios_S1+2'!$C$24:$L$24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2280.313579926014</c:v>
                </c:pt>
                <c:pt idx="3">
                  <c:v>4560.6271598520279</c:v>
                </c:pt>
                <c:pt idx="4">
                  <c:v>6840.9407397780415</c:v>
                </c:pt>
                <c:pt idx="5">
                  <c:v>9121.2543197040559</c:v>
                </c:pt>
                <c:pt idx="6">
                  <c:v>11401.56789963007</c:v>
                </c:pt>
                <c:pt idx="7">
                  <c:v>13681.881479556083</c:v>
                </c:pt>
                <c:pt idx="8">
                  <c:v>15962.195059482097</c:v>
                </c:pt>
                <c:pt idx="9">
                  <c:v>18242.508639408112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1-45CF-9829-7606DFC638E8}"/>
            </c:ext>
          </c:extLst>
        </c:ser>
        <c:ser>
          <c:idx val="1"/>
          <c:order val="4"/>
          <c:tx>
            <c:v>Additional Mitigation Needed</c:v>
          </c:tx>
          <c:spPr>
            <a:pattFill prst="pct6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'Decarbonization Scenarios_S1+2'!#REF!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'Decarbonization Scenarios_S1+2'!$C$27:$L$27</c:f>
              <c:numCache>
                <c:formatCode>#,##0</c:formatCode>
                <c:ptCount val="10"/>
                <c:pt idx="0">
                  <c:v>0</c:v>
                </c:pt>
                <c:pt idx="1">
                  <c:v>21599.959871671454</c:v>
                </c:pt>
                <c:pt idx="2">
                  <c:v>14730.178569542048</c:v>
                </c:pt>
                <c:pt idx="3">
                  <c:v>22018.663268794786</c:v>
                </c:pt>
                <c:pt idx="4">
                  <c:v>27685.007307954038</c:v>
                </c:pt>
                <c:pt idx="5">
                  <c:v>21653.575862756796</c:v>
                </c:pt>
                <c:pt idx="6">
                  <c:v>15827.441967445389</c:v>
                </c:pt>
                <c:pt idx="7">
                  <c:v>10416.409276842576</c:v>
                </c:pt>
                <c:pt idx="8">
                  <c:v>5140.4824298864842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1-45CF-9829-7606DFC638E8}"/>
            </c:ext>
          </c:extLst>
        </c:ser>
        <c:ser>
          <c:idx val="4"/>
          <c:order val="5"/>
          <c:tx>
            <c:v>RE Procurement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Scenarios_S1+2'!$C$23:$L$23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1534.6128242360846</c:v>
                </c:pt>
                <c:pt idx="3">
                  <c:v>3069.2256484721693</c:v>
                </c:pt>
                <c:pt idx="4">
                  <c:v>4603.8384727082539</c:v>
                </c:pt>
                <c:pt idx="5">
                  <c:v>6138.4512969443385</c:v>
                </c:pt>
                <c:pt idx="6">
                  <c:v>7673.0641211804232</c:v>
                </c:pt>
                <c:pt idx="7">
                  <c:v>9207.6769454165078</c:v>
                </c:pt>
                <c:pt idx="8">
                  <c:v>10742.289769652592</c:v>
                </c:pt>
                <c:pt idx="9">
                  <c:v>12276.902593888677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1-45CF-9829-7606DFC63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2005615"/>
        <c:axId val="882004367"/>
      </c:barChart>
      <c:lineChart>
        <c:grouping val="standard"/>
        <c:varyColors val="0"/>
        <c:ser>
          <c:idx val="3"/>
          <c:order val="1"/>
          <c:tx>
            <c:v>Total S1+S2 Emissions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Scenarios_S1+2'!$C$20:$L$20</c:f>
              <c:numCache>
                <c:formatCode>#,##0</c:formatCode>
                <c:ptCount val="10"/>
                <c:pt idx="0">
                  <c:v>182841</c:v>
                </c:pt>
                <c:pt idx="1">
                  <c:v>195908.37987167147</c:v>
                </c:pt>
                <c:pt idx="2">
                  <c:v>184320.94497370414</c:v>
                </c:pt>
                <c:pt idx="3">
                  <c:v>186891.77607711899</c:v>
                </c:pt>
                <c:pt idx="4">
                  <c:v>187840.46652044033</c:v>
                </c:pt>
                <c:pt idx="5">
                  <c:v>189290.6950444231</c:v>
                </c:pt>
                <c:pt idx="6">
                  <c:v>190946.22111829172</c:v>
                </c:pt>
                <c:pt idx="7">
                  <c:v>193016.84839686891</c:v>
                </c:pt>
                <c:pt idx="8">
                  <c:v>195222.58151909281</c:v>
                </c:pt>
                <c:pt idx="9">
                  <c:v>197563.75905838635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C1-45CF-9829-7606DFC638E8}"/>
            </c:ext>
          </c:extLst>
        </c:ser>
        <c:ser>
          <c:idx val="2"/>
          <c:order val="2"/>
          <c:tx>
            <c:v>Near-Term SBT (S1+S2)</c:v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'Decarbonization Scenarios_S1+2'!$C$19:$L$19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'Decarbonization Scenarios_S1+2'!$C$21:$L$21</c:f>
              <c:numCache>
                <c:formatCode>#,##0</c:formatCode>
                <c:ptCount val="10"/>
                <c:pt idx="0">
                  <c:v>182841</c:v>
                </c:pt>
                <c:pt idx="1">
                  <c:v>174308.42</c:v>
                </c:pt>
                <c:pt idx="2">
                  <c:v>165775.84</c:v>
                </c:pt>
                <c:pt idx="3">
                  <c:v>157243.26</c:v>
                </c:pt>
                <c:pt idx="4">
                  <c:v>148710.68</c:v>
                </c:pt>
                <c:pt idx="5">
                  <c:v>140178.1</c:v>
                </c:pt>
                <c:pt idx="6">
                  <c:v>131645.52000000002</c:v>
                </c:pt>
                <c:pt idx="7">
                  <c:v>123112.94</c:v>
                </c:pt>
                <c:pt idx="8">
                  <c:v>114580.36</c:v>
                </c:pt>
                <c:pt idx="9">
                  <c:v>106047.78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C1-45CF-9829-7606DFC63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005615"/>
        <c:axId val="882004367"/>
      </c:lineChart>
      <c:catAx>
        <c:axId val="8820056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82004367"/>
        <c:crosses val="autoZero"/>
        <c:auto val="1"/>
        <c:lblAlgn val="ctr"/>
        <c:lblOffset val="100"/>
        <c:noMultiLvlLbl val="0"/>
      </c:catAx>
      <c:valAx>
        <c:axId val="88200436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882005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920052745858976E-2"/>
          <c:y val="0.30373651074029823"/>
          <c:w val="0.92568128090033774"/>
          <c:h val="0.518152980877390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7B7B7B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rgbClr val="7B7B7B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png"/><Relationship Id="rId1" Type="http://schemas.openxmlformats.org/officeDocument/2006/relationships/chart" Target="../charts/chart8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4.png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168275</xdr:colOff>
      <xdr:row>0</xdr:row>
      <xdr:rowOff>225426</xdr:rowOff>
    </xdr:from>
    <xdr:to>
      <xdr:col>2</xdr:col>
      <xdr:colOff>187325</xdr:colOff>
      <xdr:row>0</xdr:row>
      <xdr:rowOff>607391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7C1A7F-F4B1-4063-A591-C78AD67B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" y="225426"/>
          <a:ext cx="1809750" cy="375615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16</xdr:row>
      <xdr:rowOff>44450</xdr:rowOff>
    </xdr:from>
    <xdr:to>
      <xdr:col>1</xdr:col>
      <xdr:colOff>809625</xdr:colOff>
      <xdr:row>16</xdr:row>
      <xdr:rowOff>158750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1662F1F9-816D-4677-9CA4-9DF954D55542}"/>
            </a:ext>
          </a:extLst>
        </xdr:cNvPr>
        <xdr:cNvSpPr/>
      </xdr:nvSpPr>
      <xdr:spPr>
        <a:xfrm>
          <a:off x="758825" y="1924050"/>
          <a:ext cx="552450" cy="114300"/>
        </a:xfrm>
        <a:prstGeom prst="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257175</xdr:colOff>
      <xdr:row>16</xdr:row>
      <xdr:rowOff>44450</xdr:rowOff>
    </xdr:from>
    <xdr:to>
      <xdr:col>1</xdr:col>
      <xdr:colOff>809625</xdr:colOff>
      <xdr:row>16</xdr:row>
      <xdr:rowOff>158750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41008BF-8A2D-4684-AE8C-E7FA1714201F}"/>
            </a:ext>
          </a:extLst>
        </xdr:cNvPr>
        <xdr:cNvSpPr/>
      </xdr:nvSpPr>
      <xdr:spPr>
        <a:xfrm>
          <a:off x="758825" y="1924050"/>
          <a:ext cx="552450" cy="11430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257175</xdr:colOff>
      <xdr:row>17</xdr:row>
      <xdr:rowOff>19050</xdr:rowOff>
    </xdr:from>
    <xdr:to>
      <xdr:col>1</xdr:col>
      <xdr:colOff>809625</xdr:colOff>
      <xdr:row>17</xdr:row>
      <xdr:rowOff>133350</xdr:rowOff>
    </xdr:to>
    <xdr:sp macro="" textlink="">
      <xdr:nvSpPr>
        <xdr:cNvPr id="8" name="Rectangle 6">
          <a:extLst>
            <a:ext uri="{FF2B5EF4-FFF2-40B4-BE49-F238E27FC236}">
              <a16:creationId xmlns:a16="http://schemas.microsoft.com/office/drawing/2014/main" id="{7B2B1A96-E5FD-43C2-8AAF-DC23F4765824}"/>
            </a:ext>
          </a:extLst>
        </xdr:cNvPr>
        <xdr:cNvSpPr/>
      </xdr:nvSpPr>
      <xdr:spPr>
        <a:xfrm>
          <a:off x="758825" y="2076450"/>
          <a:ext cx="552450" cy="114300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103447</xdr:colOff>
      <xdr:row>0</xdr:row>
      <xdr:rowOff>200820</xdr:rowOff>
    </xdr:from>
    <xdr:to>
      <xdr:col>1</xdr:col>
      <xdr:colOff>1920240</xdr:colOff>
      <xdr:row>0</xdr:row>
      <xdr:rowOff>701377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B1AEA9-53C9-499F-BFB9-7E64E7FC4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7" y="200820"/>
          <a:ext cx="2373212" cy="497382"/>
        </a:xfrm>
        <a:prstGeom prst="rect">
          <a:avLst/>
        </a:prstGeom>
      </xdr:spPr>
    </xdr:pic>
    <xdr:clientData/>
  </xdr:twoCellAnchor>
  <xdr:twoCellAnchor>
    <xdr:from>
      <xdr:col>1</xdr:col>
      <xdr:colOff>39688</xdr:colOff>
      <xdr:row>38</xdr:row>
      <xdr:rowOff>168274</xdr:rowOff>
    </xdr:from>
    <xdr:to>
      <xdr:col>13</xdr:col>
      <xdr:colOff>238125</xdr:colOff>
      <xdr:row>59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6D8341-935E-4F9C-8FF6-1EF2A8738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76200</xdr:rowOff>
    </xdr:from>
    <xdr:to>
      <xdr:col>1</xdr:col>
      <xdr:colOff>1692726</xdr:colOff>
      <xdr:row>0</xdr:row>
      <xdr:rowOff>419100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C71799B-91B5-4A54-8FC2-B12F5409F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" y="76200"/>
          <a:ext cx="1635577" cy="342900"/>
        </a:xfrm>
        <a:prstGeom prst="rect">
          <a:avLst/>
        </a:prstGeom>
      </xdr:spPr>
    </xdr:pic>
    <xdr:clientData/>
  </xdr:twoCellAnchor>
  <xdr:twoCellAnchor>
    <xdr:from>
      <xdr:col>1</xdr:col>
      <xdr:colOff>126999</xdr:colOff>
      <xdr:row>19</xdr:row>
      <xdr:rowOff>73025</xdr:rowOff>
    </xdr:from>
    <xdr:to>
      <xdr:col>11</xdr:col>
      <xdr:colOff>419099</xdr:colOff>
      <xdr:row>45</xdr:row>
      <xdr:rowOff>9525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219DA9B4-6C16-F6D8-6BC3-46D056752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76200</xdr:rowOff>
    </xdr:from>
    <xdr:to>
      <xdr:col>1</xdr:col>
      <xdr:colOff>1692726</xdr:colOff>
      <xdr:row>0</xdr:row>
      <xdr:rowOff>419100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D1D0B5-82DF-419B-A8FD-7B0415665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99" y="76200"/>
          <a:ext cx="1641927" cy="342900"/>
        </a:xfrm>
        <a:prstGeom prst="rect">
          <a:avLst/>
        </a:prstGeom>
      </xdr:spPr>
    </xdr:pic>
    <xdr:clientData/>
  </xdr:twoCellAnchor>
  <xdr:twoCellAnchor>
    <xdr:from>
      <xdr:col>1</xdr:col>
      <xdr:colOff>126999</xdr:colOff>
      <xdr:row>19</xdr:row>
      <xdr:rowOff>73025</xdr:rowOff>
    </xdr:from>
    <xdr:to>
      <xdr:col>11</xdr:col>
      <xdr:colOff>419099</xdr:colOff>
      <xdr:row>45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1A22261-4C8A-47AB-BB20-2660FBCB0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147897</xdr:colOff>
      <xdr:row>0</xdr:row>
      <xdr:rowOff>219076</xdr:rowOff>
    </xdr:from>
    <xdr:to>
      <xdr:col>2</xdr:col>
      <xdr:colOff>302158</xdr:colOff>
      <xdr:row>0</xdr:row>
      <xdr:rowOff>719633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5009F9C8-F93C-4096-AD2E-4A2CF9F2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97" y="219076"/>
          <a:ext cx="2373586" cy="494207"/>
        </a:xfrm>
        <a:prstGeom prst="rect">
          <a:avLst/>
        </a:prstGeom>
      </xdr:spPr>
    </xdr:pic>
    <xdr:clientData/>
  </xdr:twoCellAnchor>
  <xdr:twoCellAnchor>
    <xdr:from>
      <xdr:col>4</xdr:col>
      <xdr:colOff>63500</xdr:colOff>
      <xdr:row>71</xdr:row>
      <xdr:rowOff>160335</xdr:rowOff>
    </xdr:from>
    <xdr:to>
      <xdr:col>11</xdr:col>
      <xdr:colOff>515936</xdr:colOff>
      <xdr:row>102</xdr:row>
      <xdr:rowOff>79375</xdr:rowOff>
    </xdr:to>
    <xdr:graphicFrame macro="">
      <xdr:nvGraphicFramePr>
        <xdr:cNvPr id="81" name="Chart 1">
          <a:extLst>
            <a:ext uri="{FF2B5EF4-FFF2-40B4-BE49-F238E27FC236}">
              <a16:creationId xmlns:a16="http://schemas.microsoft.com/office/drawing/2014/main" id="{4FDF35F2-6E2B-423A-ACE9-00DF7B129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8733</xdr:colOff>
      <xdr:row>71</xdr:row>
      <xdr:rowOff>173040</xdr:rowOff>
    </xdr:from>
    <xdr:to>
      <xdr:col>3</xdr:col>
      <xdr:colOff>345281</xdr:colOff>
      <xdr:row>90</xdr:row>
      <xdr:rowOff>95250</xdr:rowOff>
    </xdr:to>
    <xdr:graphicFrame macro="">
      <xdr:nvGraphicFramePr>
        <xdr:cNvPr id="75" name="Chart 3">
          <a:extLst>
            <a:ext uri="{FF2B5EF4-FFF2-40B4-BE49-F238E27FC236}">
              <a16:creationId xmlns:a16="http://schemas.microsoft.com/office/drawing/2014/main" id="{551D54A1-B4A7-43E5-B6CD-F4465FF1C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369093</xdr:colOff>
      <xdr:row>11</xdr:row>
      <xdr:rowOff>18255</xdr:rowOff>
    </xdr:from>
    <xdr:to>
      <xdr:col>13</xdr:col>
      <xdr:colOff>511969</xdr:colOff>
      <xdr:row>36</xdr:row>
      <xdr:rowOff>130968</xdr:rowOff>
    </xdr:to>
    <xdr:graphicFrame macro="">
      <xdr:nvGraphicFramePr>
        <xdr:cNvPr id="15" name="Chart 3">
          <a:extLst>
            <a:ext uri="{FF2B5EF4-FFF2-40B4-BE49-F238E27FC236}">
              <a16:creationId xmlns:a16="http://schemas.microsoft.com/office/drawing/2014/main" id="{E4881909-2F2A-4AFF-81B2-195C35400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342107</xdr:colOff>
      <xdr:row>37</xdr:row>
      <xdr:rowOff>169862</xdr:rowOff>
    </xdr:from>
    <xdr:to>
      <xdr:col>13</xdr:col>
      <xdr:colOff>540812</xdr:colOff>
      <xdr:row>66</xdr:row>
      <xdr:rowOff>32401</xdr:rowOff>
    </xdr:to>
    <xdr:graphicFrame macro="">
      <xdr:nvGraphicFramePr>
        <xdr:cNvPr id="18" name="Chart 7">
          <a:extLst>
            <a:ext uri="{FF2B5EF4-FFF2-40B4-BE49-F238E27FC236}">
              <a16:creationId xmlns:a16="http://schemas.microsoft.com/office/drawing/2014/main" id="{199192A0-0F6C-456F-B4C7-86166D503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250032</xdr:colOff>
      <xdr:row>0</xdr:row>
      <xdr:rowOff>178594</xdr:rowOff>
    </xdr:from>
    <xdr:to>
      <xdr:col>2</xdr:col>
      <xdr:colOff>297137</xdr:colOff>
      <xdr:row>2</xdr:row>
      <xdr:rowOff>155276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B5E38A5F-4684-4605-8977-B828E8F9A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2" y="178594"/>
          <a:ext cx="2383905" cy="497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16</xdr:row>
      <xdr:rowOff>171449</xdr:rowOff>
    </xdr:from>
    <xdr:to>
      <xdr:col>5</xdr:col>
      <xdr:colOff>114300</xdr:colOff>
      <xdr:row>39</xdr:row>
      <xdr:rowOff>114300</xdr:rowOff>
    </xdr:to>
    <xdr:graphicFrame macro="">
      <xdr:nvGraphicFramePr>
        <xdr:cNvPr id="17" name="Chart 3">
          <a:extLst>
            <a:ext uri="{FF2B5EF4-FFF2-40B4-BE49-F238E27FC236}">
              <a16:creationId xmlns:a16="http://schemas.microsoft.com/office/drawing/2014/main" id="{98F848BA-7080-0413-AB5B-EDFBD08DC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76200</xdr:rowOff>
    </xdr:from>
    <xdr:to>
      <xdr:col>2</xdr:col>
      <xdr:colOff>696373</xdr:colOff>
      <xdr:row>0</xdr:row>
      <xdr:rowOff>511175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27262-8D2C-4AE3-ACF7-3F59B4379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6200"/>
          <a:ext cx="2055273" cy="428625"/>
        </a:xfrm>
        <a:prstGeom prst="rect">
          <a:avLst/>
        </a:prstGeom>
      </xdr:spPr>
    </xdr:pic>
    <xdr:clientData/>
  </xdr:twoCellAnchor>
  <xdr:twoCellAnchor>
    <xdr:from>
      <xdr:col>5</xdr:col>
      <xdr:colOff>352424</xdr:colOff>
      <xdr:row>16</xdr:row>
      <xdr:rowOff>172720</xdr:rowOff>
    </xdr:from>
    <xdr:to>
      <xdr:col>12</xdr:col>
      <xdr:colOff>327024</xdr:colOff>
      <xdr:row>39</xdr:row>
      <xdr:rowOff>149225</xdr:rowOff>
    </xdr:to>
    <xdr:graphicFrame macro="">
      <xdr:nvGraphicFramePr>
        <xdr:cNvPr id="21" name="Chart 2">
          <a:extLst>
            <a:ext uri="{FF2B5EF4-FFF2-40B4-BE49-F238E27FC236}">
              <a16:creationId xmlns:a16="http://schemas.microsoft.com/office/drawing/2014/main" id="{D88820B1-7620-D51D-12BB-B22D15286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504825</xdr:colOff>
      <xdr:row>40</xdr:row>
      <xdr:rowOff>96837</xdr:rowOff>
    </xdr:from>
    <xdr:to>
      <xdr:col>9</xdr:col>
      <xdr:colOff>530225</xdr:colOff>
      <xdr:row>55</xdr:row>
      <xdr:rowOff>131762</xdr:rowOff>
    </xdr:to>
    <xdr:graphicFrame macro="">
      <xdr:nvGraphicFramePr>
        <xdr:cNvPr id="22" name="Chart 2">
          <a:extLst>
            <a:ext uri="{FF2B5EF4-FFF2-40B4-BE49-F238E27FC236}">
              <a16:creationId xmlns:a16="http://schemas.microsoft.com/office/drawing/2014/main" id="{308D281B-4206-129E-3190-7EA137B08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40</xdr:row>
      <xdr:rowOff>87312</xdr:rowOff>
    </xdr:from>
    <xdr:to>
      <xdr:col>2</xdr:col>
      <xdr:colOff>1587500</xdr:colOff>
      <xdr:row>55</xdr:row>
      <xdr:rowOff>125412</xdr:rowOff>
    </xdr:to>
    <xdr:graphicFrame macro="">
      <xdr:nvGraphicFramePr>
        <xdr:cNvPr id="23" name="Chart 3">
          <a:extLst>
            <a:ext uri="{FF2B5EF4-FFF2-40B4-BE49-F238E27FC236}">
              <a16:creationId xmlns:a16="http://schemas.microsoft.com/office/drawing/2014/main" id="{7416BB32-F631-4146-B4C5-AC234053AF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7779</xdr:colOff>
      <xdr:row>22</xdr:row>
      <xdr:rowOff>88106</xdr:rowOff>
    </xdr:from>
    <xdr:ext cx="6513541" cy="3558540"/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5D078B0-90A6-4CFA-A929-A727B6D6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1372310</xdr:colOff>
      <xdr:row>21</xdr:row>
      <xdr:rowOff>133985</xdr:rowOff>
    </xdr:from>
    <xdr:ext cx="6400800" cy="3657600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320CD903-5C7E-49B5-9B9C-6B9E096A7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0</xdr:col>
      <xdr:colOff>113241</xdr:colOff>
      <xdr:row>0</xdr:row>
      <xdr:rowOff>187325</xdr:rowOff>
    </xdr:from>
    <xdr:to>
      <xdr:col>2</xdr:col>
      <xdr:colOff>205418</xdr:colOff>
      <xdr:row>0</xdr:row>
      <xdr:rowOff>476250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2EE88802-916D-4893-8ECC-F20C1DE96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41" y="187325"/>
          <a:ext cx="1346302" cy="2889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169863</xdr:colOff>
      <xdr:row>0</xdr:row>
      <xdr:rowOff>211137</xdr:rowOff>
    </xdr:from>
    <xdr:to>
      <xdr:col>1</xdr:col>
      <xdr:colOff>1924050</xdr:colOff>
      <xdr:row>0</xdr:row>
      <xdr:rowOff>701247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8A51041-A432-4248-BC5C-D03F6C2F8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3" y="211137"/>
          <a:ext cx="2254250" cy="483760"/>
        </a:xfrm>
        <a:prstGeom prst="rect">
          <a:avLst/>
        </a:prstGeom>
      </xdr:spPr>
    </xdr:pic>
    <xdr:clientData/>
  </xdr:twoCellAnchor>
  <xdr:twoCellAnchor>
    <xdr:from>
      <xdr:col>1</xdr:col>
      <xdr:colOff>24984</xdr:colOff>
      <xdr:row>108</xdr:row>
      <xdr:rowOff>0</xdr:rowOff>
    </xdr:from>
    <xdr:to>
      <xdr:col>5</xdr:col>
      <xdr:colOff>2554941</xdr:colOff>
      <xdr:row>135</xdr:row>
      <xdr:rowOff>45296</xdr:rowOff>
    </xdr:to>
    <xdr:graphicFrame macro="">
      <xdr:nvGraphicFramePr>
        <xdr:cNvPr id="26" name="Chart 1">
          <a:extLst>
            <a:ext uri="{FF2B5EF4-FFF2-40B4-BE49-F238E27FC236}">
              <a16:creationId xmlns:a16="http://schemas.microsoft.com/office/drawing/2014/main" id="{4F728BF6-B179-49B2-9A85-AF892198E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111125</xdr:colOff>
      <xdr:row>190</xdr:row>
      <xdr:rowOff>111125</xdr:rowOff>
    </xdr:from>
    <xdr:to>
      <xdr:col>1</xdr:col>
      <xdr:colOff>769937</xdr:colOff>
      <xdr:row>190</xdr:row>
      <xdr:rowOff>119062</xdr:rowOff>
    </xdr:to>
    <xdr:cxnSp macro="">
      <xdr:nvCxnSpPr>
        <xdr:cNvPr id="5" name="Straight Connector 3">
          <a:extLst>
            <a:ext uri="{FF2B5EF4-FFF2-40B4-BE49-F238E27FC236}">
              <a16:creationId xmlns:a16="http://schemas.microsoft.com/office/drawing/2014/main" id="{A314C9A3-A40B-4239-B089-0E02E5E5F498}"/>
            </a:ext>
          </a:extLst>
        </xdr:cNvPr>
        <xdr:cNvCxnSpPr/>
      </xdr:nvCxnSpPr>
      <xdr:spPr>
        <a:xfrm flipV="1">
          <a:off x="2881313" y="47680563"/>
          <a:ext cx="658812" cy="7937"/>
        </a:xfrm>
        <a:prstGeom prst="line">
          <a:avLst/>
        </a:prstGeom>
        <a:ln w="28575">
          <a:solidFill>
            <a:schemeClr val="accent1"/>
          </a:solidFill>
          <a:prstDash val="dash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0.3719</cdr:x>
      <cdr:y>0.8252</cdr:y>
    </cdr:from>
    <cdr:to>
      <cdr:x>0.49891</cdr:x>
      <cdr:y>0.87991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91E151C1-004C-E040-18B0-00265B553158}"/>
            </a:ext>
          </a:extLst>
        </cdr:cNvPr>
        <cdr:cNvSpPr txBox="1"/>
      </cdr:nvSpPr>
      <cdr:spPr>
        <a:xfrm xmlns:a="http://schemas.openxmlformats.org/drawingml/2006/main">
          <a:off x="3721967" y="4235580"/>
          <a:ext cx="1271118" cy="280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accent1"/>
              </a:solidFill>
            </a:rPr>
            <a:t>2050 Goal Line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1287463</xdr:colOff>
      <xdr:row>73</xdr:row>
      <xdr:rowOff>147637</xdr:rowOff>
    </xdr:from>
    <xdr:to>
      <xdr:col>19</xdr:col>
      <xdr:colOff>58738</xdr:colOff>
      <xdr:row>89</xdr:row>
      <xdr:rowOff>42862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C9E7A50-E36D-6020-3662-BF2E56891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180975</xdr:rowOff>
    </xdr:from>
    <xdr:to>
      <xdr:col>1</xdr:col>
      <xdr:colOff>2076451</xdr:colOff>
      <xdr:row>0</xdr:row>
      <xdr:rowOff>658385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37CE91-2EC4-41F2-BFC9-E51406EFA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80975"/>
          <a:ext cx="2266950" cy="477410"/>
        </a:xfrm>
        <a:prstGeom prst="rect">
          <a:avLst/>
        </a:prstGeom>
      </xdr:spPr>
    </xdr:pic>
    <xdr:clientData/>
  </xdr:twoCellAnchor>
  <xdr:oneCellAnchor>
    <xdr:from>
      <xdr:col>0</xdr:col>
      <xdr:colOff>180975</xdr:colOff>
      <xdr:row>17</xdr:row>
      <xdr:rowOff>57150</xdr:rowOff>
    </xdr:from>
    <xdr:ext cx="6513541" cy="3558540"/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C48E2A8F-10BA-4BD8-A893-E65416B51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12</xdr:col>
      <xdr:colOff>66675</xdr:colOff>
      <xdr:row>17</xdr:row>
      <xdr:rowOff>95250</xdr:rowOff>
    </xdr:from>
    <xdr:ext cx="6400800" cy="3657600"/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4139C5A4-B930-4A9F-9806-D84CB3C64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>
    <xdr:from>
      <xdr:col>4</xdr:col>
      <xdr:colOff>0</xdr:colOff>
      <xdr:row>2</xdr:row>
      <xdr:rowOff>0</xdr:rowOff>
    </xdr:from>
    <xdr:to>
      <xdr:col>16</xdr:col>
      <xdr:colOff>529166</xdr:colOff>
      <xdr:row>5</xdr:row>
      <xdr:rowOff>179917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5CDA870-520B-4A0E-9A26-EFD3EB7BD578}"/>
            </a:ext>
          </a:extLst>
        </xdr:cNvPr>
        <xdr:cNvSpPr txBox="1"/>
      </xdr:nvSpPr>
      <xdr:spPr>
        <a:xfrm>
          <a:off x="4984750" y="1090083"/>
          <a:ext cx="7895166" cy="81491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>
              <a:solidFill>
                <a:sysClr val="windowText" lastClr="000000"/>
              </a:solidFill>
            </a:rPr>
            <a:t>[insert statement(s) on what suppliers are seeing below]</a:t>
          </a:r>
          <a:endParaRPr lang="en-US" sz="1600" b="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11</xdr:row>
      <xdr:rowOff>46567</xdr:rowOff>
    </xdr:from>
    <xdr:to>
      <xdr:col>6</xdr:col>
      <xdr:colOff>264583</xdr:colOff>
      <xdr:row>41</xdr:row>
      <xdr:rowOff>42333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F1D97D-4141-4F2B-9E44-9EC306D1A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24340</xdr:colOff>
      <xdr:row>11</xdr:row>
      <xdr:rowOff>67732</xdr:rowOff>
    </xdr:from>
    <xdr:to>
      <xdr:col>17</xdr:col>
      <xdr:colOff>542925</xdr:colOff>
      <xdr:row>41</xdr:row>
      <xdr:rowOff>45508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BAEC4A1D-19DE-4551-AE7E-512C2F44C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16</xdr:col>
      <xdr:colOff>529166</xdr:colOff>
      <xdr:row>5</xdr:row>
      <xdr:rowOff>179917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F813739-75A2-4CCA-A665-0E9D8BF814F3}"/>
            </a:ext>
          </a:extLst>
        </xdr:cNvPr>
        <xdr:cNvSpPr txBox="1"/>
      </xdr:nvSpPr>
      <xdr:spPr>
        <a:xfrm>
          <a:off x="5419725" y="1047750"/>
          <a:ext cx="7269691" cy="72601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>
              <a:solidFill>
                <a:sysClr val="windowText" lastClr="000000"/>
              </a:solidFill>
            </a:rPr>
            <a:t>[insert statement(s) on what suppliers are seeing below]</a:t>
          </a:r>
          <a:endParaRPr lang="en-US" sz="1600" b="0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142875</xdr:colOff>
      <xdr:row>0</xdr:row>
      <xdr:rowOff>229394</xdr:rowOff>
    </xdr:from>
    <xdr:to>
      <xdr:col>1</xdr:col>
      <xdr:colOff>1840706</xdr:colOff>
      <xdr:row>0</xdr:row>
      <xdr:rowOff>706804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4F11C09-A402-409D-B4D5-3A870566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9394"/>
          <a:ext cx="2257425" cy="47741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12</xdr:col>
      <xdr:colOff>280383</xdr:colOff>
      <xdr:row>71</xdr:row>
      <xdr:rowOff>61985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EC1740B-C04A-4AB6-A809-84C5612DEF1C}"/>
            </a:ext>
          </a:extLst>
        </xdr:cNvPr>
        <xdr:cNvGrpSpPr/>
      </xdr:nvGrpSpPr>
      <xdr:grpSpPr>
        <a:xfrm>
          <a:off x="555625" y="8389938"/>
          <a:ext cx="8741758" cy="4776860"/>
          <a:chOff x="577774" y="17191470"/>
          <a:chExt cx="8278163" cy="4890366"/>
        </a:xfrm>
      </xdr:grpSpPr>
      <xdr:graphicFrame macro="">
        <xdr:nvGraphicFramePr>
          <xdr:cNvPr id="7" name="Chart 1">
            <a:extLst>
              <a:ext uri="{FF2B5EF4-FFF2-40B4-BE49-F238E27FC236}">
                <a16:creationId xmlns:a16="http://schemas.microsoft.com/office/drawing/2014/main" id="{31119AF1-08DF-52A9-66B9-41DF2E72B917}"/>
              </a:ext>
            </a:extLst>
          </xdr:cNvPr>
          <xdr:cNvGraphicFramePr>
            <a:graphicFrameLocks/>
          </xdr:cNvGraphicFramePr>
        </xdr:nvGraphicFramePr>
        <xdr:xfrm>
          <a:off x="577774" y="17191470"/>
          <a:ext cx="8174903" cy="48903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cxnSp macro="">
        <xdr:nvCxnSpPr>
          <xdr:cNvPr id="8" name="Straight Connector 3">
            <a:extLst>
              <a:ext uri="{FF2B5EF4-FFF2-40B4-BE49-F238E27FC236}">
                <a16:creationId xmlns:a16="http://schemas.microsoft.com/office/drawing/2014/main" id="{F0176676-53F0-2396-4B39-D6B39ADB808B}"/>
              </a:ext>
            </a:extLst>
          </xdr:cNvPr>
          <xdr:cNvCxnSpPr/>
        </xdr:nvCxnSpPr>
        <xdr:spPr>
          <a:xfrm flipV="1">
            <a:off x="1842294" y="20013612"/>
            <a:ext cx="2407444" cy="5896"/>
          </a:xfrm>
          <a:prstGeom prst="line">
            <a:avLst/>
          </a:prstGeom>
          <a:ln w="57150">
            <a:solidFill>
              <a:srgbClr val="FF0000"/>
            </a:solidFill>
            <a:prstDash val="dash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9" name="Straight Connector 5">
            <a:extLst>
              <a:ext uri="{FF2B5EF4-FFF2-40B4-BE49-F238E27FC236}">
                <a16:creationId xmlns:a16="http://schemas.microsoft.com/office/drawing/2014/main" id="{9B3A89C1-E49D-29F3-1D11-1AC24CA7DF6F}"/>
              </a:ext>
            </a:extLst>
          </xdr:cNvPr>
          <xdr:cNvCxnSpPr/>
        </xdr:nvCxnSpPr>
        <xdr:spPr>
          <a:xfrm flipV="1">
            <a:off x="4542700" y="21476123"/>
            <a:ext cx="4313237" cy="16215"/>
          </a:xfrm>
          <a:prstGeom prst="line">
            <a:avLst/>
          </a:prstGeom>
          <a:ln w="57150">
            <a:solidFill>
              <a:srgbClr val="FF0000"/>
            </a:solidFill>
            <a:prstDash val="dash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0.02437</cdr:x>
      <cdr:y>0.5148</cdr:y>
    </cdr:from>
    <cdr:to>
      <cdr:x>0.15138</cdr:x>
      <cdr:y>0.56952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CAB585A-98E2-A9D9-5F82-4D6447ADC56A}"/>
            </a:ext>
          </a:extLst>
        </cdr:cNvPr>
        <cdr:cNvSpPr txBox="1"/>
      </cdr:nvSpPr>
      <cdr:spPr>
        <a:xfrm xmlns:a="http://schemas.openxmlformats.org/drawingml/2006/main">
          <a:off x="175491" y="2509405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2035 Goal Line</a:t>
          </a:r>
        </a:p>
      </cdr:txBody>
    </cdr:sp>
  </cdr:relSizeAnchor>
  <cdr:relSizeAnchor xmlns:cdr="http://schemas.openxmlformats.org/drawingml/2006/chartDrawing">
    <cdr:from>
      <cdr:x>0.49655</cdr:x>
      <cdr:y>0.81419</cdr:y>
    </cdr:from>
    <cdr:to>
      <cdr:x>0.62356</cdr:x>
      <cdr:y>0.8689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91E151C1-004C-E040-18B0-00265B553158}"/>
            </a:ext>
          </a:extLst>
        </cdr:cNvPr>
        <cdr:cNvSpPr txBox="1"/>
      </cdr:nvSpPr>
      <cdr:spPr>
        <a:xfrm xmlns:a="http://schemas.openxmlformats.org/drawingml/2006/main">
          <a:off x="3575050" y="3968750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2050 Goal Line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44450</xdr:colOff>
      <xdr:row>0</xdr:row>
      <xdr:rowOff>85725</xdr:rowOff>
    </xdr:from>
    <xdr:ext cx="773021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F8E85EEE-E51A-409E-911E-23BD4B18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2550"/>
          <a:ext cx="773021" cy="365760"/>
        </a:xfrm>
        <a:prstGeom prst="rect">
          <a:avLst/>
        </a:prstGeom>
        <a:ln w="12700">
          <a:solidFill>
            <a:schemeClr val="tx2"/>
          </a:solidFill>
        </a:ln>
      </xdr:spPr>
    </xdr:pic>
    <xdr:clientData/>
  </xdr:oneCellAnchor>
  <xdr:oneCellAnchor>
    <xdr:from>
      <xdr:col>12</xdr:col>
      <xdr:colOff>228319</xdr:colOff>
      <xdr:row>15</xdr:row>
      <xdr:rowOff>96819</xdr:rowOff>
    </xdr:from>
    <xdr:ext cx="6400800" cy="3657600"/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35EBFF64-8FBA-4226-8BEF-5FAC6187C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18</xdr:col>
      <xdr:colOff>672353</xdr:colOff>
      <xdr:row>16</xdr:row>
      <xdr:rowOff>96051</xdr:rowOff>
    </xdr:from>
    <xdr:to>
      <xdr:col>22</xdr:col>
      <xdr:colOff>228122</xdr:colOff>
      <xdr:row>25</xdr:row>
      <xdr:rowOff>77642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F4C044E-E581-4188-B82A-51770CBC34EA}"/>
            </a:ext>
          </a:extLst>
        </xdr:cNvPr>
        <xdr:cNvSpPr txBox="1"/>
      </xdr:nvSpPr>
      <xdr:spPr>
        <a:xfrm>
          <a:off x="20849478" y="3363126"/>
          <a:ext cx="3743594" cy="1610366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chemeClr val="tx1"/>
              </a:solidFill>
            </a:rPr>
            <a:t>Notes</a:t>
          </a:r>
        </a:p>
        <a:p>
          <a:endParaRPr lang="en-US" sz="1100" b="0" u="none">
            <a:solidFill>
              <a:schemeClr val="tx1"/>
            </a:solidFill>
          </a:endParaRPr>
        </a:p>
        <a:p>
          <a:r>
            <a:rPr lang="en-US" sz="1100" b="0" u="none">
              <a:solidFill>
                <a:schemeClr val="tx1"/>
              </a:solidFill>
            </a:rPr>
            <a:t>For the legend,</a:t>
          </a:r>
          <a:r>
            <a:rPr lang="en-US" sz="1100" b="0" u="none" baseline="0">
              <a:solidFill>
                <a:schemeClr val="tx1"/>
              </a:solidFill>
            </a:rPr>
            <a:t> copy the desired legend below and past as a 'png' for best resolution. Crop the image to remove the legend header and graph line.</a:t>
          </a:r>
        </a:p>
        <a:p>
          <a:endParaRPr lang="en-US" sz="1100" b="0" u="none" baseline="0">
            <a:solidFill>
              <a:schemeClr val="tx1"/>
            </a:solidFill>
          </a:endParaRPr>
        </a:p>
        <a:p>
          <a:r>
            <a:rPr lang="en-US" sz="1100" b="0" u="none" baseline="0">
              <a:solidFill>
                <a:schemeClr val="tx1"/>
              </a:solidFill>
            </a:rPr>
            <a:t>Legend options are reordered from wha'ts used in the figure to stack similar items next to each other.</a:t>
          </a:r>
          <a:endParaRPr lang="en-US" sz="1100" b="0" u="none" baseline="0">
            <a:solidFill>
              <a:sysClr val="windowText" lastClr="000000"/>
            </a:solidFill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endParaRPr lang="en-US" sz="1100" b="0" u="none" baseline="0">
            <a:solidFill>
              <a:sysClr val="windowText" lastClr="000000"/>
            </a:solidFill>
          </a:endParaRPr>
        </a:p>
        <a:p>
          <a:pPr marL="0" lvl="0" indent="0">
            <a:buFont typeface="Arial" panose="020B0604020202020204" pitchFamily="34" charset="0"/>
            <a:buNone/>
          </a:pPr>
          <a:endParaRPr lang="en-US" sz="1100" b="1" i="1" u="none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283957</xdr:colOff>
      <xdr:row>36</xdr:row>
      <xdr:rowOff>74631</xdr:rowOff>
    </xdr:from>
    <xdr:ext cx="6400800" cy="3390562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53485D-91BD-4CA7-965D-A587AF360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18</xdr:col>
      <xdr:colOff>74632</xdr:colOff>
      <xdr:row>27</xdr:row>
      <xdr:rowOff>11207</xdr:rowOff>
    </xdr:from>
    <xdr:ext cx="11030398" cy="13335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2AFC3CC-DE7D-4FDA-BC18-933C9240E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18</xdr:col>
      <xdr:colOff>302559</xdr:colOff>
      <xdr:row>46</xdr:row>
      <xdr:rowOff>134470</xdr:rowOff>
    </xdr:from>
    <xdr:ext cx="6320117" cy="1333500"/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2D78A917-9CE2-4F73-9ABF-1C1052749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isonenergygroup-my.sharepoint.com/personal/nicholas_masiello_trioadvisory_com/Documents/Desktop/2024%20Green%20Excellence%20Academy/Decarbonization%20Target%20Setting/Emissions_Forecast_Scenarios_Transcontinental.xlsx" TargetMode="External"/><Relationship Id="rId1" Type="http://schemas.openxmlformats.org/officeDocument/2006/relationships/externalLinkPath" Target="2024%20Green%20Excellence%20Academy/Decarbonization%20Target%20Setting/Emissions_Forecast_Scenarios_Transcontin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Inventory Summary"/>
      <sheetName val="Emissions Forecast"/>
      <sheetName val="Goal Scenarios"/>
      <sheetName val="Decarbonization Scenarios_S1+2"/>
      <sheetName val="Decarbonization Scenarios_S3"/>
      <sheetName val="Scope 3 2030 Calc (PG&amp;S)"/>
      <sheetName val="Emission Forecast_PBI Use"/>
      <sheetName val="S1+2 Decarb_PBI Use"/>
      <sheetName val="Activity Data Forecast"/>
    </sheetNames>
    <sheetDataSet>
      <sheetData sheetId="0">
        <row r="3">
          <cell r="B3" t="str">
            <v>Transcontinental</v>
          </cell>
        </row>
      </sheetData>
      <sheetData sheetId="1">
        <row r="18">
          <cell r="F18">
            <v>89864</v>
          </cell>
          <cell r="N18">
            <v>379300.24699999997</v>
          </cell>
        </row>
      </sheetData>
      <sheetData sheetId="2">
        <row r="213">
          <cell r="F213">
            <v>32485.046700000003</v>
          </cell>
          <cell r="G213">
            <v>34693.488116939014</v>
          </cell>
          <cell r="H213">
            <v>32296.852584700824</v>
          </cell>
          <cell r="I213">
            <v>33367.970251960709</v>
          </cell>
          <cell r="J213">
            <v>34135.433567755805</v>
          </cell>
          <cell r="K213">
            <v>34954.683973381943</v>
          </cell>
          <cell r="L213">
            <v>35793.596388743113</v>
          </cell>
          <cell r="M213">
            <v>36652.642702072946</v>
          </cell>
          <cell r="N213">
            <v>37532.306126922696</v>
          </cell>
          <cell r="O213">
            <v>38433.081473968843</v>
          </cell>
        </row>
        <row r="215">
          <cell r="F215">
            <v>24695</v>
          </cell>
          <cell r="G215">
            <v>26373.848157275665</v>
          </cell>
          <cell r="H215">
            <v>24551.935601163437</v>
          </cell>
          <cell r="I215">
            <v>25366.194882895757</v>
          </cell>
          <cell r="J215">
            <v>25949.617365202357</v>
          </cell>
          <cell r="K215">
            <v>26572.408181967214</v>
          </cell>
          <cell r="L215">
            <v>27210.145978334429</v>
          </cell>
          <cell r="M215">
            <v>27863.189481814457</v>
          </cell>
          <cell r="N215">
            <v>28531.906029378006</v>
          </cell>
          <cell r="O215">
            <v>29216.671774083079</v>
          </cell>
        </row>
        <row r="216">
          <cell r="F216">
            <v>76602</v>
          </cell>
          <cell r="G216">
            <v>81809.658495388954</v>
          </cell>
          <cell r="H216">
            <v>76158.225184058363</v>
          </cell>
          <cell r="I216">
            <v>78683.99515770725</v>
          </cell>
          <cell r="J216">
            <v>80493.727046334505</v>
          </cell>
          <cell r="K216">
            <v>82425.576495446541</v>
          </cell>
          <cell r="L216">
            <v>84403.790331337266</v>
          </cell>
          <cell r="M216">
            <v>86429.481299289357</v>
          </cell>
          <cell r="N216">
            <v>88503.788850472309</v>
          </cell>
          <cell r="O216">
            <v>90627.87978288364</v>
          </cell>
        </row>
      </sheetData>
      <sheetData sheetId="3">
        <row r="25">
          <cell r="F25">
            <v>89864</v>
          </cell>
          <cell r="G25">
            <v>96146.243559337221</v>
          </cell>
          <cell r="H25">
            <v>90032.702323303412</v>
          </cell>
          <cell r="I25">
            <v>92057.042941626612</v>
          </cell>
          <cell r="J25">
            <v>93264.987679977494</v>
          </cell>
          <cell r="K25">
            <v>94673.215443110166</v>
          </cell>
          <cell r="L25">
            <v>96161.523721094345</v>
          </cell>
          <cell r="M25">
            <v>97787.451753794696</v>
          </cell>
          <cell r="N25">
            <v>99475.588309524464</v>
          </cell>
          <cell r="O25">
            <v>101226.63806032803</v>
          </cell>
        </row>
        <row r="27">
          <cell r="F27">
            <v>182841</v>
          </cell>
          <cell r="G27">
            <v>195908.37987167147</v>
          </cell>
          <cell r="H27">
            <v>184320.94497370414</v>
          </cell>
          <cell r="I27">
            <v>186891.77607711899</v>
          </cell>
          <cell r="J27">
            <v>187840.46652044033</v>
          </cell>
          <cell r="K27">
            <v>189290.6950444231</v>
          </cell>
          <cell r="L27">
            <v>190946.22111829172</v>
          </cell>
          <cell r="M27">
            <v>193016.84839686891</v>
          </cell>
          <cell r="N27">
            <v>195222.58151909281</v>
          </cell>
          <cell r="O27">
            <v>197563.75905838635</v>
          </cell>
        </row>
        <row r="34">
          <cell r="F34">
            <v>182841</v>
          </cell>
          <cell r="G34">
            <v>174308.42</v>
          </cell>
          <cell r="H34">
            <v>165775.84</v>
          </cell>
          <cell r="I34">
            <v>157243.26</v>
          </cell>
          <cell r="J34">
            <v>148710.68</v>
          </cell>
          <cell r="K34">
            <v>140178.1</v>
          </cell>
          <cell r="L34">
            <v>131645.52000000002</v>
          </cell>
          <cell r="M34">
            <v>123112.94</v>
          </cell>
          <cell r="N34">
            <v>114580.36</v>
          </cell>
          <cell r="O34">
            <v>106047.78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6A01F8E7-79F8-4300-B427-6FDD244F990B}" autoFormatId="16" applyNumberFormats="0" applyBorderFormats="0" applyFontFormats="0" applyPatternFormats="0" applyAlignmentFormats="0" applyWidthHeightFormats="0">
  <queryTableRefresh nextId="34">
    <queryTableFields count="21">
      <queryTableField id="1" name="Site Name" tableColumnId="1"/>
      <queryTableField id="13" name="Electricity (renewable purchased)" tableColumnId="2"/>
      <queryTableField id="14" name="Natural Gas" tableColumnId="3"/>
      <queryTableField id="15" name="Electricity (standard)" tableColumnId="4"/>
      <queryTableField id="20" name="Natural Gas Liquids (NGLs)" tableColumnId="9"/>
      <queryTableField id="16" name="Diesel Oil" tableColumnId="5"/>
      <queryTableField id="17" name="Petrol/Gasoline" tableColumnId="6"/>
      <queryTableField id="18" name="Kerosene" tableColumnId="7"/>
      <queryTableField id="19" name="Coking Coal" tableColumnId="8"/>
      <queryTableField id="21" name="Liquified petroleum gases" tableColumnId="10"/>
      <queryTableField id="22" name="Crude Oil" tableColumnId="11"/>
      <queryTableField id="23" name="Residual Fuel Oil" tableColumnId="12"/>
      <queryTableField id="24" name="Shale Oil" tableColumnId="13"/>
      <queryTableField id="25" name="Anthracite" tableColumnId="14"/>
      <queryTableField id="26" name="Bitumen (Orimulsion)" tableColumnId="15"/>
      <queryTableField id="27" name="Brown Coal (Lignite)" tableColumnId="16"/>
      <queryTableField id="28" name="Sub-Bituminous coal" tableColumnId="17"/>
      <queryTableField id="29" name="Petroleum coke" tableColumnId="18"/>
      <queryTableField id="30" name="Purchased cooling" tableColumnId="19"/>
      <queryTableField id="31" name="Purchased heat" tableColumnId="20"/>
      <queryTableField id="32" name="Purchased steam" tableColumnId="2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738CF478-EE81-4E94-9A03-7156952F8F4D}" autoFormatId="16" applyNumberFormats="0" applyBorderFormats="0" applyFontFormats="0" applyPatternFormats="0" applyAlignmentFormats="0" applyWidthHeightFormats="0">
  <queryTableRefresh nextId="5">
    <queryTableFields count="3">
      <queryTableField id="1" name="Site Name" tableColumnId="1"/>
      <queryTableField id="3" name="Scope 1" tableColumnId="3"/>
      <queryTableField id="2" name="Scope 2" tableColumnId="2"/>
    </queryTableFields>
  </queryTableRefresh>
</queryTable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A64BE63-03B8-4695-85E7-CEC1381E1FCB}" name="Table22" displayName="Table22" ref="B47:B53" totalsRowShown="0" headerRowDxfId="186" dataDxfId="185">
  <autoFilter ref="B47:B53" xr:uid="{DA64BE63-03B8-4695-85E7-CEC1381E1FCB}"/>
  <tableColumns count="1">
    <tableColumn id="1" xr3:uid="{D642F448-064B-46A8-B08D-3E962D073BDC}" name="Most Recent Year of Data" dataDxfId="18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38FD52C-9B8E-46A1-B160-76553710C035}" name="Table2224" displayName="Table2224" ref="B47:B53" totalsRowShown="0" headerRowDxfId="183" dataDxfId="182">
  <autoFilter ref="B47:B53" xr:uid="{DA64BE63-03B8-4695-85E7-CEC1381E1FCB}"/>
  <tableColumns count="1">
    <tableColumn id="1" xr3:uid="{D63C61E1-80D0-4B69-82B7-2EF0A5E6017B}" name="Most Recent Year of Data" dataDxfId="18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6707EA-AD69-4D11-A40A-E3A88F015C7A}" name="Site1_Activity_Data" displayName="Site1_Activity_Data" ref="B17:E37" totalsRowShown="0" headerRowDxfId="180" tableBorderDxfId="179">
  <autoFilter ref="B17:E37" xr:uid="{A46707EA-AD69-4D11-A40A-E3A88F015C7A}"/>
  <tableColumns count="4">
    <tableColumn id="6" xr3:uid="{EA0F7BE4-9666-4504-9921-8E11C5897B73}" name="Site Name" dataDxfId="178"/>
    <tableColumn id="2" xr3:uid="{CD8DB47C-6D83-466D-AF30-3E7C8490A06F}" name="Emissions Source" dataDxfId="177"/>
    <tableColumn id="3" xr3:uid="{D2AF1A7B-F6F2-4680-8FA6-CC0B641B8FEF}" name="Unit" dataDxfId="176"/>
    <tableColumn id="4" xr3:uid="{689A1C3A-E872-478B-A56E-B28E993D0372}" name="Total Values" dataDxfId="175" dataCellStyle="Comma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33FF6A6-F382-43A8-9737-EC4112EA05F9}" name="Site2_Activity_Data" displayName="Site2_Activity_Data" ref="G17:J37" totalsRowShown="0" headerRowDxfId="174" dataDxfId="173" tableBorderDxfId="172">
  <autoFilter ref="G17:J37" xr:uid="{933FF6A6-F382-43A8-9737-EC4112EA05F9}"/>
  <tableColumns count="4">
    <tableColumn id="5" xr3:uid="{4364C2D3-B670-4F75-9093-A1F54CA990A8}" name="Site Name" dataDxfId="171"/>
    <tableColumn id="2" xr3:uid="{68ABFCA6-E061-463A-9F63-ABD239D3740C}" name="Emissions Source" dataDxfId="170"/>
    <tableColumn id="3" xr3:uid="{A4874EE9-B892-43BE-8E2F-5FB86D71E4CE}" name="Unit" dataDxfId="169"/>
    <tableColumn id="4" xr3:uid="{91F94BF7-49B8-4A6C-8F0A-3F27895CDD6F}" name="Total Values" dataDxfId="168" dataCellStyle="Comma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88A761-72FC-4241-B774-B7B03108B6D0}" name="Site4_Activity_Data" displayName="Site4_Activity_Data" ref="Q17:T37" totalsRowShown="0" headerRowDxfId="167" dataDxfId="166" tableBorderDxfId="165">
  <autoFilter ref="Q17:T37" xr:uid="{DA88A761-72FC-4241-B774-B7B03108B6D0}"/>
  <tableColumns count="4">
    <tableColumn id="5" xr3:uid="{F7443FD2-0BD6-4FA6-B5D7-61EBD9D24928}" name="Site Name" dataDxfId="164"/>
    <tableColumn id="2" xr3:uid="{17B487FF-22CD-4936-A30A-97F3569DD8EB}" name="Emissions Source" dataDxfId="163"/>
    <tableColumn id="3" xr3:uid="{DCF0DF9C-55D9-4EAF-B04C-7B5B7CC18A9A}" name="Unit" dataDxfId="162"/>
    <tableColumn id="4" xr3:uid="{18B49ABF-E172-4BAE-B286-AF7B0EAE3C7D}" name="Total Values" dataDxfId="161" dataCellStyle="Comma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576FC02-5A9A-4A8E-BF4D-BC9DBE10EEEF}" name="Site3_Activity_Data" displayName="Site3_Activity_Data" ref="L17:O37" totalsRowShown="0" headerRowDxfId="160" tableBorderDxfId="159">
  <autoFilter ref="L17:O37" xr:uid="{4576FC02-5A9A-4A8E-BF4D-BC9DBE10EEEF}"/>
  <tableColumns count="4">
    <tableColumn id="6" xr3:uid="{E1AE06DD-696A-4152-8FB8-CF2948697E47}" name="Site Name" dataDxfId="158"/>
    <tableColumn id="2" xr3:uid="{CECB9A62-6401-4C3F-85A9-FFE06C000B68}" name="Emissions Source" dataDxfId="157"/>
    <tableColumn id="3" xr3:uid="{91DDA3A9-5C20-45A3-BE8F-FD8A7C49CE27}" name="Unit" dataDxfId="156"/>
    <tableColumn id="4" xr3:uid="{E59E561C-6680-48E1-B910-3AE206B7E8D8}" name="Total Values" dataDxfId="155" dataCellStyle="Comma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7AB2FC0-11FA-4F21-8EF8-007E04763657}" name="Site5_Activity_Data" displayName="Site5_Activity_Data" ref="V17:Y37" totalsRowShown="0" headerRowDxfId="154" tableBorderDxfId="153">
  <autoFilter ref="V17:Y37" xr:uid="{D7AB2FC0-11FA-4F21-8EF8-007E04763657}"/>
  <tableColumns count="4">
    <tableColumn id="6" xr3:uid="{C380684B-A70D-45CD-9467-0347B88B7357}" name="Site Name" dataDxfId="152"/>
    <tableColumn id="2" xr3:uid="{94703522-7D90-46EB-9F36-F76E54AEB08B}" name="Emissions Source" dataDxfId="151"/>
    <tableColumn id="3" xr3:uid="{4FE2CCB9-7AFE-41FC-8EB1-05D30EA967F3}" name="Unit" dataDxfId="150"/>
    <tableColumn id="4" xr3:uid="{19CA3BED-2FA8-42F8-A8D8-83B5482B69DD}" name="Total Values" dataDxfId="149" dataCellStyle="Comma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B180BEE-F89D-4E70-A5FD-A2FB92844E7B}" name="Site6_Activity_Data" displayName="Site6_Activity_Data" ref="B40:E60" totalsRowShown="0" headerRowDxfId="148" dataDxfId="147" tableBorderDxfId="146">
  <autoFilter ref="B40:E60" xr:uid="{0B180BEE-F89D-4E70-A5FD-A2FB92844E7B}"/>
  <tableColumns count="4">
    <tableColumn id="5" xr3:uid="{3F57A63B-8CE3-43EC-81BB-EF116D24C7FA}" name="Site Name" dataDxfId="145"/>
    <tableColumn id="2" xr3:uid="{77C59801-3B53-474D-8493-D011BC9294C9}" name="Emissions Source" dataDxfId="144"/>
    <tableColumn id="3" xr3:uid="{55D864A0-BE7B-4E23-9076-6CA4BA9BA145}" name="Unit" dataDxfId="143"/>
    <tableColumn id="4" xr3:uid="{597C2A25-DFBC-40A8-817F-8101B9C1588B}" name="Total Values" dataDxfId="142" dataCellStyle="Comma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C476132-AC2F-4AA9-A3B4-8EF32577F037}" name="Site7_Activity_Data" displayName="Site7_Activity_Data" ref="G40:J60" totalsRowShown="0" headerRowDxfId="141" tableBorderDxfId="140">
  <autoFilter ref="G40:J60" xr:uid="{3C476132-AC2F-4AA9-A3B4-8EF32577F037}"/>
  <tableColumns count="4">
    <tableColumn id="6" xr3:uid="{8BB39B75-476B-4A8D-9665-713C37FBCCBF}" name="Site Name" dataDxfId="139"/>
    <tableColumn id="2" xr3:uid="{CFBADAE7-D672-43C7-B7A1-14CDB845D596}" name="Emissions Source" dataDxfId="138"/>
    <tableColumn id="3" xr3:uid="{93970036-7D4B-4B45-8F2D-FD10E330AFD7}" name="Unit" dataDxfId="137"/>
    <tableColumn id="4" xr3:uid="{77285FC5-9B1C-4A05-8419-677E1F77F658}" name="Total Values" dataDxfId="136" dataCellStyle="Comma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29AAD9B-504C-42F5-A622-FA3227705FAC}" name="Site8_Activity_Data" displayName="Site8_Activity_Data" ref="L40:O60" totalsRowShown="0" headerRowDxfId="135" dataDxfId="134" tableBorderDxfId="133">
  <autoFilter ref="L40:O60" xr:uid="{729AAD9B-504C-42F5-A622-FA3227705FAC}"/>
  <tableColumns count="4">
    <tableColumn id="5" xr3:uid="{8418D509-A8FE-425E-88E8-D79EB7BD8CC7}" name="Site Name" dataDxfId="132"/>
    <tableColumn id="2" xr3:uid="{785E6CAB-E91B-47C9-8574-3F819B2F98DC}" name="Emissions Source" dataDxfId="131"/>
    <tableColumn id="3" xr3:uid="{3FA08C5F-6902-4844-94D2-885C0EF1AB81}" name="Unit" dataDxfId="130"/>
    <tableColumn id="4" xr3:uid="{16D1BD61-6366-4F80-8A48-ABB0D28054B6}" name="Total Values" dataDxfId="129" dataCellStyle="Comma"/>
  </tableColumns>
  <tableStyleInfo name="TableStyleLight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507AA93-77FA-4CBC-9446-539A652F9856}" name="Site9_Activity_Data" displayName="Site9_Activity_Data" ref="Q40:T60" totalsRowShown="0" headerRowDxfId="128" tableBorderDxfId="127">
  <autoFilter ref="Q40:T60" xr:uid="{6507AA93-77FA-4CBC-9446-539A652F9856}"/>
  <tableColumns count="4">
    <tableColumn id="6" xr3:uid="{25F75CA3-5A1F-4564-A8C8-7DDC7B9DFBF6}" name="Site Name" dataDxfId="126"/>
    <tableColumn id="2" xr3:uid="{30B384CA-7654-47FB-BA13-DF17C92EDC82}" name="Emissions Source" dataDxfId="125"/>
    <tableColumn id="3" xr3:uid="{DB6539A1-FE5E-4BB6-A467-5743CB1D68F3}" name="Unit" dataDxfId="124"/>
    <tableColumn id="4" xr3:uid="{06E53E3A-F9D5-43F0-8D86-C9511764A633}" name="Total Values" dataDxfId="123" dataCellStyle="Comma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BD9FDA3-6448-40AE-BEC5-B88DE92A93D2}" name="Site10_Activity_Data" displayName="Site10_Activity_Data" ref="V40:Y60" totalsRowShown="0" headerRowDxfId="122" dataDxfId="121" tableBorderDxfId="120">
  <autoFilter ref="V40:Y60" xr:uid="{6BD9FDA3-6448-40AE-BEC5-B88DE92A93D2}"/>
  <tableColumns count="4">
    <tableColumn id="5" xr3:uid="{B5A71911-4D0D-43F1-AF22-AC529A370F0A}" name="Site Name" dataDxfId="119"/>
    <tableColumn id="2" xr3:uid="{2F31A025-39A6-4F8C-9281-7B2C7986E1B5}" name="Emissions Source" dataDxfId="118"/>
    <tableColumn id="3" xr3:uid="{B7836FA8-C940-4D05-B08E-5EC5FE554971}" name="Unit" dataDxfId="117"/>
    <tableColumn id="4" xr3:uid="{8FB531A1-93C6-4FF4-991D-0742214BEFC9}" name="Total Values" dataDxfId="116" dataCellStyle="Comma"/>
  </tableColumns>
  <tableStyleInfo name="TableStyleLight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F31168B-9B56-4D8B-81E6-6DA11A4A64B0}" name="Site_Activity_Data_By_Source" displayName="Site_Activity_Data_By_Source" ref="B5:V16" tableType="queryTable" totalsRowShown="0">
  <autoFilter ref="B5:V16" xr:uid="{2F31168B-9B56-4D8B-81E6-6DA11A4A64B0}"/>
  <sortState xmlns:xlrd2="http://schemas.microsoft.com/office/spreadsheetml/2017/richdata2" ref="B6:V16">
    <sortCondition ref="B5:B16"/>
  </sortState>
  <tableColumns count="21">
    <tableColumn id="1" xr3:uid="{DAA9F679-6B60-4A30-A9C7-223A3162D6CB}" uniqueName="1" name="Site Name" queryTableFieldId="1" dataDxfId="115"/>
    <tableColumn id="2" xr3:uid="{6A757A47-0866-4804-9C94-CD3ECC4C3979}" uniqueName="2" name="Electricity (renewable purchased)" queryTableFieldId="13"/>
    <tableColumn id="3" xr3:uid="{3B188B51-AA2D-4B33-997C-4760E9AF1413}" uniqueName="3" name="Natural Gas" queryTableFieldId="14" dataDxfId="7" dataCellStyle="Comma"/>
    <tableColumn id="4" xr3:uid="{8B62B1C4-6781-4D15-A8FA-5783236B2F3B}" uniqueName="4" name="Electricity (standard)" queryTableFieldId="15" dataDxfId="6" dataCellStyle="Comma"/>
    <tableColumn id="9" xr3:uid="{DC72B9F7-564F-412D-82F3-4D30A1931B6C}" uniqueName="9" name="Natural Gas Liquids (NGLs)" queryTableFieldId="20" dataCellStyle="Comma"/>
    <tableColumn id="5" xr3:uid="{6977F165-BDCA-4681-8C5E-046300388754}" uniqueName="5" name="Diesel Oil" queryTableFieldId="16" dataDxfId="5" dataCellStyle="Comma"/>
    <tableColumn id="6" xr3:uid="{43EFD7B1-186D-4CD9-8447-11EAF9CABD9F}" uniqueName="6" name="Petrol/Gasoline" queryTableFieldId="17" dataDxfId="4" dataCellStyle="Comma"/>
    <tableColumn id="7" xr3:uid="{7E368E67-D36E-418A-9BC0-B46DC29715FC}" uniqueName="7" name="Kerosene" queryTableFieldId="18" dataDxfId="3" dataCellStyle="Comma"/>
    <tableColumn id="8" xr3:uid="{B1750B9E-AED0-462D-A10B-D1EBDF4067BD}" uniqueName="8" name="Coking Coal" queryTableFieldId="19" dataDxfId="2" dataCellStyle="Comma"/>
    <tableColumn id="10" xr3:uid="{0E902E6C-99C1-47BD-9CC2-15257320B787}" uniqueName="10" name="Liquified petroleum gases" queryTableFieldId="21" dataCellStyle="Comma"/>
    <tableColumn id="11" xr3:uid="{5BE02E95-CA63-4526-AC61-5954B741E79A}" uniqueName="11" name="Crude Oil" queryTableFieldId="22" dataCellStyle="Comma"/>
    <tableColumn id="12" xr3:uid="{11F43513-D964-41D7-B1F9-2DD5D0EBF382}" uniqueName="12" name="Residual Fuel Oil" queryTableFieldId="23" dataCellStyle="Comma"/>
    <tableColumn id="13" xr3:uid="{93AAC4DF-F894-4A3B-8EFA-3021F3A7D494}" uniqueName="13" name="Shale Oil" queryTableFieldId="24" dataCellStyle="Comma"/>
    <tableColumn id="14" xr3:uid="{488ABC96-59B6-4B49-AB9A-9FDBC0EA7361}" uniqueName="14" name="Anthracite" queryTableFieldId="25" dataCellStyle="Comma"/>
    <tableColumn id="15" xr3:uid="{F12E39E2-6AC2-43DE-9DA7-4B80F642D077}" uniqueName="15" name="Bitumen (Orimulsion)" queryTableFieldId="26" dataCellStyle="Comma"/>
    <tableColumn id="16" xr3:uid="{6C6B2A88-A025-4904-80A5-FF6207E9D6E4}" uniqueName="16" name="Brown Coal (Lignite)" queryTableFieldId="27" dataCellStyle="Comma"/>
    <tableColumn id="17" xr3:uid="{A41DEDCA-5B99-4C93-BE60-8C84DD3465A0}" uniqueName="17" name="Sub-Bituminous coal" queryTableFieldId="28" dataCellStyle="Comma"/>
    <tableColumn id="18" xr3:uid="{1C8E54B6-D823-4BD2-BD0C-B01F0BCAC6BC}" uniqueName="18" name="Petroleum coke" queryTableFieldId="29" dataCellStyle="Comma"/>
    <tableColumn id="19" xr3:uid="{06413D81-D2EB-468A-B8E6-5F3EA1AAF77E}" uniqueName="19" name="Purchased cooling" queryTableFieldId="30" dataCellStyle="Comma"/>
    <tableColumn id="20" xr3:uid="{1FC0F303-A50A-4901-920E-4D94DFE24B51}" uniqueName="20" name="Purchased heat" queryTableFieldId="31" dataCellStyle="Comma"/>
    <tableColumn id="21" xr3:uid="{17EEFF26-A4BF-47EA-9C3A-6A103CDB4057}" uniqueName="21" name="Purchased steam" queryTableFieldId="32" dataCellStyle="Comma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D510FC5-CF55-40B3-96BE-20968DC1EB53}" name="Site_Activity_Data_By_Scope" displayName="Site_Activity_Data_By_Scope" ref="Z5:AB16" tableType="queryTable" totalsRowShown="0">
  <autoFilter ref="Z5:AB16" xr:uid="{1D510FC5-CF55-40B3-96BE-20968DC1EB53}"/>
  <sortState xmlns:xlrd2="http://schemas.microsoft.com/office/spreadsheetml/2017/richdata2" ref="Z6:AB16">
    <sortCondition ref="Z5:Z16"/>
  </sortState>
  <tableColumns count="3">
    <tableColumn id="1" xr3:uid="{F720B882-00F7-4319-B6CB-A4468B055F39}" uniqueName="1" name="Site Name" queryTableFieldId="1" dataDxfId="114"/>
    <tableColumn id="3" xr3:uid="{53C25004-215F-4EDD-A31A-CFE40338E1B8}" uniqueName="3" name="Scope 1" queryTableFieldId="3" dataDxfId="1" dataCellStyle="Comma"/>
    <tableColumn id="2" xr3:uid="{DFD4F9AC-F84F-4E5A-8014-511E50BB8BFC}" uniqueName="2" name="Scope 2" queryTableFieldId="2" dataDxfId="0" dataCellStyle="Comma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6A8A67-51C0-452C-8CC2-80DB57BFD806}" name="Enterprise" displayName="Enterprise" ref="B73:E93" totalsRowShown="0" headerRowDxfId="113" dataDxfId="112">
  <autoFilter ref="B73:E93" xr:uid="{7B6A8A67-51C0-452C-8CC2-80DB57BFD806}"/>
  <tableColumns count="4">
    <tableColumn id="5" xr3:uid="{26ECBA11-A1CD-4FD3-B2F8-2B1336ECE952}" name="Site Name" dataDxfId="111">
      <calculatedColumnFormula>$B$72</calculatedColumnFormula>
    </tableColumn>
    <tableColumn id="2" xr3:uid="{7198B0DE-7E50-4AEF-8CC0-C7630832AC10}" name="Emissions Source" dataDxfId="110"/>
    <tableColumn id="3" xr3:uid="{F56E527D-C6B5-4A74-B75B-356F622D738D}" name="Unit" dataDxfId="109"/>
    <tableColumn id="4" xr3:uid="{B1A12C1D-92E9-4BAC-9478-DA24ED5B82EE}" name="Total Values" dataDxfId="108" dataCellStyle="Comma">
      <calculatedColumnFormula>SUM('2. Facility Emissions'!E18+'2. Facility Emissions'!J18+'2. Facility Emissions'!O18+'2. Facility Emissions'!T18+'2. Facility Emissions'!Y18+'2. Facility Emissions'!E41+'2. Facility Emissions'!J41+'2. Facility Emissions'!O41+'2. Facility Emissions'!T41+'2. Facility Emissions'!Y41)</calculatedColumnFormula>
    </tableColumn>
  </tableColumns>
  <tableStyleInfo name="TableStyleLight1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7C09557-C97B-4732-8996-223F429F977A}" name="Table20" displayName="Table20" ref="B25:D26" totalsRowShown="0" headerRowBorderDxfId="107" tableBorderDxfId="106" totalsRowBorderDxfId="105">
  <tableColumns count="3">
    <tableColumn id="1" xr3:uid="{27C4A7E2-794A-417E-89D4-41ED400E2DFB}" name="Decarbonization Lever Bucket" dataDxfId="104"/>
    <tableColumn id="2" xr3:uid="{88389760-BEDB-46A3-9E1A-1E291F7F8517}" name="2035" dataDxfId="103"/>
    <tableColumn id="3" xr3:uid="{ADAE3BD4-515D-422E-A6B8-568EFBA986CB}" name="2050" dataDxfId="102"/>
  </tableColumns>
  <tableStyleInfo name="TableStyleMedium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541212-4A0B-4F69-9620-C9FE71664A17}" name="ConversionTable" displayName="ConversionTable" ref="A10:E66" totalsRowShown="0" headerRowDxfId="101" dataDxfId="100">
  <autoFilter ref="A10:E66" xr:uid="{DDF38C83-B736-42BF-BE0A-E058BDFB6D67}"/>
  <tableColumns count="5">
    <tableColumn id="5" xr3:uid="{8FDB00C7-4E08-49DE-9006-AAD104FE1831}" name="Source" dataDxfId="99"/>
    <tableColumn id="1" xr3:uid="{3224815F-E3E4-4721-A45D-F76764212586}" name="Original Unit" dataDxfId="98"/>
    <tableColumn id="2" xr3:uid="{4A835D93-1A60-4A32-A189-D7F3C3E0A2F8}" name="Conversion Factor" dataDxfId="97"/>
    <tableColumn id="3" xr3:uid="{EA6DF308-77DF-412C-92E3-9B9D68B1A2F8}" name="Standard UOM" dataDxfId="96"/>
    <tableColumn id="4" xr3:uid="{1C9E3FCC-E317-44E4-BF2B-9FF2286197B0}" name="Conversion Source" dataDxfId="9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7530157-0DDC-46DF-A4BD-BB2B8ED3CAE1}" name="Table9" displayName="Table9" ref="B3:C6" totalsRowShown="0" headerRowDxfId="94" dataDxfId="93">
  <autoFilter ref="B3:C6" xr:uid="{D01AB6BC-CE17-4B68-B17A-FBAC383079B5}"/>
  <tableColumns count="2">
    <tableColumn id="1" xr3:uid="{6AB75F1C-BDD1-45DE-8F57-3E9A993510B3}" name="Gas" dataDxfId="92"/>
    <tableColumn id="2" xr3:uid="{D586BC81-A54D-4B86-93E4-F5F900612802}" name="100-Year GWP" dataDxfId="9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73F3E41-C81C-46EC-AC27-854C73A345BC}" name="Scope1EF" displayName="Scope1EF" ref="G3:Q27" totalsRowShown="0" headerRowDxfId="90" dataDxfId="89" tableBorderDxfId="88" headerRowCellStyle="Normal 2" dataCellStyle="Normal 2">
  <autoFilter ref="G3:Q27" xr:uid="{673F3E41-C81C-46EC-AC27-854C73A345BC}"/>
  <tableColumns count="11">
    <tableColumn id="1" xr3:uid="{C5CC55EC-AA79-4023-8AC2-D59E394B9D28}" name="Source" dataDxfId="87" dataCellStyle="Normal 2"/>
    <tableColumn id="2" xr3:uid="{D582E185-0E8D-4DA3-875F-6B65EF2FB7F5}" name="Unit" dataDxfId="86" dataCellStyle="Normal 2"/>
    <tableColumn id="3" xr3:uid="{57E72026-D058-41B5-B249-9C221A0312E1}" name="kg CO2" dataDxfId="85" dataCellStyle="Normal 2"/>
    <tableColumn id="4" xr3:uid="{6D4C6D9D-9747-4592-B51D-FACB44B58CF8}" name="kg CH4" dataDxfId="84" dataCellStyle="Normal 2"/>
    <tableColumn id="5" xr3:uid="{D2685A09-44AB-49EC-9492-2DDB4866C174}" name="kg N2O" dataDxfId="83" dataCellStyle="Normal 2"/>
    <tableColumn id="6" xr3:uid="{C2C5F3B7-741F-470D-ABC8-ACB2512BC87E}" name="kgCO2e" dataDxfId="82" dataCellStyle="Normal 2">
      <calculatedColumnFormula>I4+J4*$C$5+K4*$C$6</calculatedColumnFormula>
    </tableColumn>
    <tableColumn id="7" xr3:uid="{485E7A1F-E4D3-4F70-94CD-B1CB708EB4D6}" name="MT CO2" dataDxfId="81" dataCellStyle="Normal 2">
      <calculatedColumnFormula>EFs!$I4*$C$12</calculatedColumnFormula>
    </tableColumn>
    <tableColumn id="8" xr3:uid="{2DEF8B93-A1BA-43C5-B349-453AC9CBDF9D}" name="MT CH4" dataDxfId="80" dataCellStyle="Normal 2">
      <calculatedColumnFormula>EFs!$J4*$C$12</calculatedColumnFormula>
    </tableColumn>
    <tableColumn id="9" xr3:uid="{E43E9EEA-8504-467F-9218-371815BB6F3E}" name="MT N2O" dataDxfId="79" dataCellStyle="Normal 2">
      <calculatedColumnFormula>EFs!$K4*$C$12</calculatedColumnFormula>
    </tableColumn>
    <tableColumn id="10" xr3:uid="{09834F68-8D06-4CFF-B73F-AE19CF60DF86}" name="MT CO2e" dataDxfId="78" dataCellStyle="Normal 2">
      <calculatedColumnFormula>EFs!$L4*$C$12</calculatedColumnFormula>
    </tableColumn>
    <tableColumn id="11" xr3:uid="{DC81C0EA-24F9-4340-90C4-7D071F091F4A}" name="EPA Source" dataDxfId="77" dataCellStyle="Normal 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A4A9C00-9472-4038-B471-6605FD7CF424}" name="Scope" displayName="Scope" ref="S3:T24" totalsRowShown="0" headerRowDxfId="76" dataDxfId="75" headerRowCellStyle="Normal 2" dataCellStyle="Normal 2">
  <autoFilter ref="S3:T24" xr:uid="{BA4A9C00-9472-4038-B471-6605FD7CF424}"/>
  <tableColumns count="2">
    <tableColumn id="1" xr3:uid="{BAFFE865-09CE-49C0-B70A-11CB11C20A56}" name="Scope" dataDxfId="74" dataCellStyle="Normal 2"/>
    <tableColumn id="2" xr3:uid="{E31F463E-A1ED-4629-B773-26EE835A8BF2}" name="Emission Source" dataDxfId="73" dataCellStyle="Normal 2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1E99D7-5D1F-40D9-8625-AB6D9934E855}" name="Table13" displayName="Table13" ref="V3:AF24" totalsRowShown="0" headerRowDxfId="72" dataDxfId="71" headerRowCellStyle="Normal 2">
  <autoFilter ref="V3:AF24" xr:uid="{B21E99D7-5D1F-40D9-8625-AB6D9934E855}"/>
  <tableColumns count="11">
    <tableColumn id="1" xr3:uid="{11D21585-2693-42FC-9968-7A7D5478C1C9}" name="Activity Source" dataDxfId="70"/>
    <tableColumn id="2" xr3:uid="{1EB754EF-D0F8-4963-BFAA-A9B1935BCD50}" name="Unit" dataDxfId="69"/>
    <tableColumn id="3" xr3:uid="{71D475E6-35CF-40F6-9ACA-4B5A02FE5F2A}" name="kWh / Unit" dataDxfId="68" dataCellStyle="Normal 2"/>
    <tableColumn id="6" xr3:uid="{6BC98ED2-0CB5-40A3-A62B-B7D76B0FFC8A}" name="mmBtu / Unit" dataDxfId="67" dataCellStyle="Normal 2"/>
    <tableColumn id="4" xr3:uid="{EBEDDE1F-2F73-451F-BAA2-AE160878BC59}" name="Notes" dataDxfId="66" dataCellStyle="Normal 2"/>
    <tableColumn id="5" xr3:uid="{1B6CB010-F176-454E-A20E-4DA7F38F7B11}" name="Source" dataDxfId="65"/>
    <tableColumn id="7" xr3:uid="{783A2018-58AC-4428-AB4C-1028B85D663F}" name="Cost / Unit Min" dataDxfId="64"/>
    <tableColumn id="8" xr3:uid="{29222D07-7D4B-4B4C-B096-A314AB556CB6}" name="Cost / Unit Max" dataDxfId="63"/>
    <tableColumn id="9" xr3:uid="{5B5C1106-CBC4-4A6B-93B5-72D99E8077E8}" name="Cost Notes" dataDxfId="62"/>
    <tableColumn id="10" xr3:uid="{1A40ECC6-D5BC-41BF-A89B-DCE383FFA953}" name="Cost Source" dataDxfId="61"/>
    <tableColumn id="11" xr3:uid="{04AB73F9-B9CC-483F-B7AD-205CC5995055}" name="Efficiency" dataDxfId="6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35318A-D3E5-4DF9-BD8E-77A29D86DA50}" name="DecarbCalcs2035" displayName="DecarbCalcs2035" ref="A2:L23" totalsRowShown="0" headerRowDxfId="59" dataDxfId="58">
  <autoFilter ref="A2:L23" xr:uid="{1835318A-D3E5-4DF9-BD8E-77A29D86DA50}"/>
  <tableColumns count="12">
    <tableColumn id="2" xr3:uid="{D1B347C5-CB69-4BB5-9862-9AF2A0432BE7}" name="Emissions Source" dataDxfId="57"/>
    <tableColumn id="3" xr3:uid="{25B236E1-E9D9-420B-BE1C-8CC3CD4D98AD}" name="Unit" dataDxfId="56"/>
    <tableColumn id="4" xr3:uid="{885634E4-907D-4017-AB0E-0EE825B50E40}" name="Total Values" dataDxfId="55" dataCellStyle="Comma">
      <calculatedColumnFormula array="1">'2. Facility Emissions'!E18*INDEX(ConversionTable[Conversion Factor],MATCH(1,(ConversionTable[Source]='2. Facility Emissions'!C18)*(ConversionTable[Original Unit]='2. Facility Emissions'!D18),0))+'2. Facility Emissions'!J18*INDEX(ConversionTable[Conversion Factor],MATCH(1,(ConversionTable[Source]='2. Facility Emissions'!H18)*(ConversionTable[Original Unit]='2. Facility Emissions'!I18),0))+'2. Facility Emissions'!O18*INDEX(ConversionTable[Conversion Factor],MATCH(1,(ConversionTable[Source]='2. Facility Emissions'!M18)*(ConversionTable[Original Unit]='2. Facility Emissions'!N18),0))+'2. Facility Emissions'!T18*INDEX(ConversionTable[Conversion Factor],MATCH(1,(ConversionTable[Source]='2. Facility Emissions'!R18)*(ConversionTable[Original Unit]='2. Facility Emissions'!S18),0))+'2. Facility Emissions'!Y18*INDEX(ConversionTable[Conversion Factor],MATCH(1,(ConversionTable[Source]='2. Facility Emissions'!W18)*(ConversionTable[Original Unit]='2. Facility Emissions'!X18),0))+'2. Facility Emissions'!E41*INDEX(ConversionTable[Conversion Factor],MATCH(1,(ConversionTable[Source]='2. Facility Emissions'!C41)*(ConversionTable[Original Unit]='2. Facility Emissions'!D41),0))+'2. Facility Emissions'!J41*INDEX(ConversionTable[Conversion Factor],MATCH(1,(ConversionTable[Source]='2. Facility Emissions'!H41)*(ConversionTable[Original Unit]='2. Facility Emissions'!I41),0))+'2. Facility Emissions'!O41*INDEX(ConversionTable[Conversion Factor],MATCH(1,(ConversionTable[Source]='2. Facility Emissions'!M41)*(ConversionTable[Original Unit]='2. Facility Emissions'!N41),0))+'2. Facility Emissions'!T41*INDEX(ConversionTable[Conversion Factor],MATCH(1,(ConversionTable[Source]='2. Facility Emissions'!R41)*(ConversionTable[Original Unit]='2. Facility Emissions'!S41),0))+'2. Facility Emissions'!Y41*INDEX(ConversionTable[Conversion Factor],MATCH(1,(ConversionTable[Source]='2. Facility Emissions'!W41)*(ConversionTable[Original Unit]='2. Facility Emissions'!X41),0))</calculatedColumnFormula>
    </tableColumn>
    <tableColumn id="1" xr3:uid="{67AA3314-E40A-4AD7-BBF9-D60E0468FB19}" name="Energy Efficiency" dataDxfId="54">
      <calculatedColumnFormula>DecarbCalcs2035[[#This Row],[Total Values]]*(1-('3. Decarbonization Strategy'!$C$26))</calculatedColumnFormula>
    </tableColumn>
    <tableColumn id="6" xr3:uid="{F9A96866-6098-4DAF-A0A7-DF7C5CCBA9B0}" name="Electrification" dataDxfId="53">
      <calculatedColumnFormula>DecarbCalcs2035[[#This Row],[Energy Efficiency]]*(1-'3. Decarbonization Strategy'!$C$47)</calculatedColumnFormula>
    </tableColumn>
    <tableColumn id="12" xr3:uid="{D5094399-097E-473C-9B73-BCA23A440103}" name="Fuel Switching" dataDxfId="52">
      <calculatedColumnFormula>DecarbCalcs2035[[#This Row],[Electrification]]*(1-'3. Decarbonization Strategy'!$C$48)</calculatedColumnFormula>
    </tableColumn>
    <tableColumn id="7" xr3:uid="{82B3DFE7-E473-451B-BB7B-64E463FDC853}" name="Onsite" dataDxfId="51">
      <calculatedColumnFormula>E4*'3. Decarbonization Strategy'!$C$75</calculatedColumnFormula>
    </tableColumn>
    <tableColumn id="8" xr3:uid="{F51856C5-ACBF-426D-A15C-2A856C1A9359}" name="PPAs" dataDxfId="50">
      <calculatedColumnFormula>E4*'3. Decarbonization Strategy'!$C$83</calculatedColumnFormula>
    </tableColumn>
    <tableColumn id="9" xr3:uid="{E4FDD483-6D40-41D5-9E7B-1D6F54BF953F}" name="Utility Programs" dataDxfId="49">
      <calculatedColumnFormula>E4*'3. Decarbonization Strategy'!C84</calculatedColumnFormula>
    </tableColumn>
    <tableColumn id="10" xr3:uid="{3AB5CD74-8DD8-40BC-8083-4336F8DD063A}" name="RECs" dataDxfId="48">
      <calculatedColumnFormula>E4*'3. Decarbonization Strategy'!$C$85</calculatedColumnFormula>
    </tableColumn>
    <tableColumn id="11" xr3:uid="{0585AFE5-F029-4E0E-A253-6EB499F12883}" name="After Renewable Electricity" dataDxfId="47">
      <calculatedColumnFormula>SUM(DecarbCalcs2035[[#This Row],[Electrification]:[RECs]])</calculatedColumnFormula>
    </tableColumn>
    <tableColumn id="5" xr3:uid="{F01986C7-33F4-40E5-813B-3454BA0DF679}" name="GotG" dataDxfId="46"/>
  </tableColumns>
  <tableStyleInfo name="TableStyleMedium3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48EB494-F8EA-44D6-B813-7B6D94C2DA38}" name="DecarbCalcs2050" displayName="DecarbCalcs2050" ref="A29:L50" totalsRowShown="0" headerRowDxfId="45" dataDxfId="44">
  <autoFilter ref="A29:L50" xr:uid="{948EB494-F8EA-44D6-B813-7B6D94C2DA38}"/>
  <tableColumns count="12">
    <tableColumn id="2" xr3:uid="{76210644-1EC9-4750-8F70-617F618AE7AB}" name="Emissions Source" dataDxfId="43"/>
    <tableColumn id="3" xr3:uid="{3E0DA835-6625-4853-A610-CCA8890C6CB3}" name="Unit" dataDxfId="42"/>
    <tableColumn id="4" xr3:uid="{C4890E6D-126F-4339-87AD-064EDC17C53A}" name="Total Values" dataDxfId="41" dataCellStyle="Comma">
      <calculatedColumnFormula array="1">'2. Facility Emissions'!E18*INDEX(ConversionTable[Conversion Factor],MATCH(1,(ConversionTable[Source]='2. Facility Emissions'!C18)*(ConversionTable[Original Unit]='2. Facility Emissions'!D18),0))+'2. Facility Emissions'!J18*INDEX(ConversionTable[Conversion Factor],MATCH(1,(ConversionTable[Source]='2. Facility Emissions'!H18)*(ConversionTable[Original Unit]='2. Facility Emissions'!I18),0))+'2. Facility Emissions'!O18*INDEX(ConversionTable[Conversion Factor],MATCH(1,(ConversionTable[Source]='2. Facility Emissions'!M18)*(ConversionTable[Original Unit]='2. Facility Emissions'!N18),0))+'2. Facility Emissions'!T18*INDEX(ConversionTable[Conversion Factor],MATCH(1,(ConversionTable[Source]='2. Facility Emissions'!R18)*(ConversionTable[Original Unit]='2. Facility Emissions'!S18),0))+'2. Facility Emissions'!Y18*INDEX(ConversionTable[Conversion Factor],MATCH(1,(ConversionTable[Source]='2. Facility Emissions'!W18)*(ConversionTable[Original Unit]='2. Facility Emissions'!X18),0))+'2. Facility Emissions'!E41*INDEX(ConversionTable[Conversion Factor],MATCH(1,(ConversionTable[Source]='2. Facility Emissions'!C41)*(ConversionTable[Original Unit]='2. Facility Emissions'!D41),0))+'2. Facility Emissions'!J41*INDEX(ConversionTable[Conversion Factor],MATCH(1,(ConversionTable[Source]='2. Facility Emissions'!H41)*(ConversionTable[Original Unit]='2. Facility Emissions'!I41),0))+'2. Facility Emissions'!O41*INDEX(ConversionTable[Conversion Factor],MATCH(1,(ConversionTable[Source]='2. Facility Emissions'!M41)*(ConversionTable[Original Unit]='2. Facility Emissions'!N41),0))+'2. Facility Emissions'!T41*INDEX(ConversionTable[Conversion Factor],MATCH(1,(ConversionTable[Source]='2. Facility Emissions'!R41)*(ConversionTable[Original Unit]='2. Facility Emissions'!S41),0))+'2. Facility Emissions'!Y41*INDEX(ConversionTable[Conversion Factor],MATCH(1,(ConversionTable[Source]='2. Facility Emissions'!W41)*(ConversionTable[Original Unit]='2. Facility Emissions'!X41),0))</calculatedColumnFormula>
    </tableColumn>
    <tableColumn id="1" xr3:uid="{AD07CC61-BF6E-4D85-8A66-B1BBC4D317D0}" name="Energy Efficiency" dataDxfId="40">
      <calculatedColumnFormula>DecarbCalcs2050[[#This Row],[Total Values]]*(1-('3. Decarbonization Strategy'!$D$26))</calculatedColumnFormula>
    </tableColumn>
    <tableColumn id="6" xr3:uid="{E4FCA665-982B-4979-B0C2-D7853C6CB141}" name="Electrification" dataDxfId="39">
      <calculatedColumnFormula>DecarbCalcs2050[[#This Row],[Energy Efficiency]]*(1-'3. Decarbonization Strategy'!$C$47)</calculatedColumnFormula>
    </tableColumn>
    <tableColumn id="12" xr3:uid="{FB551F8A-E094-437E-AAB4-4FE00094AFF1}" name="Fuel Switching" dataDxfId="38">
      <calculatedColumnFormula>DecarbCalcs2050[[#This Row],[Electrification]]</calculatedColumnFormula>
    </tableColumn>
    <tableColumn id="7" xr3:uid="{3CB297B5-CC67-44F5-B350-99631F9FA289}" name="Onsite" dataDxfId="37">
      <calculatedColumnFormula>E31*'3. Decarbonization Strategy'!$C$75</calculatedColumnFormula>
    </tableColumn>
    <tableColumn id="8" xr3:uid="{D8836983-EE2B-484B-88B1-C97671E8CF10}" name="PPAs" dataDxfId="36">
      <calculatedColumnFormula>E31*'3. Decarbonization Strategy'!$C$83</calculatedColumnFormula>
    </tableColumn>
    <tableColumn id="9" xr3:uid="{8CA4CB40-0295-4659-9FA1-34B8FBA27007}" name="Utility Programs" dataDxfId="35">
      <calculatedColumnFormula>E31*'3. Decarbonization Strategy'!#REF!</calculatedColumnFormula>
    </tableColumn>
    <tableColumn id="10" xr3:uid="{5FBC122B-D9DA-49C4-9328-820F5A467BAF}" name="RECs" dataDxfId="34">
      <calculatedColumnFormula>E31*'3. Decarbonization Strategy'!$C$85</calculatedColumnFormula>
    </tableColumn>
    <tableColumn id="11" xr3:uid="{D4A0DFCE-85C8-40F7-9502-19F3D07D774E}" name="After Renewable Electricity" dataDxfId="33">
      <calculatedColumnFormula>SUM(DecarbCalcs2050[[#This Row],[Electrification]:[RECs]])</calculatedColumnFormula>
    </tableColumn>
    <tableColumn id="5" xr3:uid="{5CF704C5-BF40-467B-B095-D7CAEBD3563C}" name="GotG" dataDxfId="3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eme2">
  <a:themeElements>
    <a:clrScheme name="Trio-Brand-Theme-02">
      <a:dk1>
        <a:srgbClr val="4D4D4D"/>
      </a:dk1>
      <a:lt1>
        <a:sysClr val="window" lastClr="FFFFFF"/>
      </a:lt1>
      <a:dk2>
        <a:srgbClr val="001C55"/>
      </a:dk2>
      <a:lt2>
        <a:srgbClr val="FFFFFF"/>
      </a:lt2>
      <a:accent1>
        <a:srgbClr val="001C55"/>
      </a:accent1>
      <a:accent2>
        <a:srgbClr val="A35EA1"/>
      </a:accent2>
      <a:accent3>
        <a:srgbClr val="FF9C54"/>
      </a:accent3>
      <a:accent4>
        <a:srgbClr val="1A9470"/>
      </a:accent4>
      <a:accent5>
        <a:srgbClr val="E8C46B"/>
      </a:accent5>
      <a:accent6>
        <a:srgbClr val="F25C54"/>
      </a:accent6>
      <a:hlink>
        <a:srgbClr val="001C55"/>
      </a:hlink>
      <a:folHlink>
        <a:srgbClr val="4D4D4D"/>
      </a:folHlink>
    </a:clrScheme>
    <a:fontScheme name="Custom 1">
      <a:majorFont>
        <a:latin typeface="Arial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noFill/>
        </a:ln>
      </a:spPr>
      <a:bodyPr rtlCol="0" anchor="ctr"/>
      <a:lstStyle>
        <a:defPPr algn="ctr">
          <a:defRPr dirty="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custClrLst>
    <a:custClr name="Light Green">
      <a:srgbClr val="94E5AB"/>
    </a:custClr>
    <a:custClr name="Bright Green">
      <a:srgbClr val="D6FF82"/>
    </a:custClr>
    <a:custClr name="Bright Blue">
      <a:srgbClr val="0057FF"/>
    </a:custClr>
    <a:custClr name="Turquoise">
      <a:srgbClr val="0FA3B0"/>
    </a:custClr>
    <a:custClr name="Burnt Orange">
      <a:srgbClr val="D9853C"/>
    </a:custClr>
    <a:custClr name="Forest Green">
      <a:srgbClr val="006068"/>
    </a:custClr>
    <a:custClr name="Pink">
      <a:srgbClr val="EEAECF"/>
    </a:custClr>
    <a:custClr name="Maroon">
      <a:srgbClr val="7D1538"/>
    </a:custClr>
    <a:custClr name="Grey Purple">
      <a:srgbClr val="7D84B2"/>
    </a:custClr>
    <a:custClr name="Green Blue">
      <a:srgbClr val="55DDE0"/>
    </a:custClr>
    <a:custClr name="Sunflower Yellow">
      <a:srgbClr val="FFD500"/>
    </a:custClr>
    <a:custClr name="Light Purple">
      <a:srgbClr val="DAE0F2"/>
    </a:custClr>
    <a:custClr name="Lavender">
      <a:srgbClr val="826AED"/>
    </a:custClr>
    <a:custClr name="Grey">
      <a:srgbClr val="8F857D"/>
    </a:custClr>
    <a:custClr name="Night Sky">
      <a:srgbClr val="485696"/>
    </a:custClr>
    <a:custClr name="Sea Green">
      <a:srgbClr val="50B795"/>
    </a:custClr>
    <a:custClr name="Light Peach">
      <a:srgbClr val="FFC798"/>
    </a:custClr>
    <a:custClr name="Sky Blue">
      <a:srgbClr val="B3EDFF"/>
    </a:custClr>
    <a:custClr name="Peacock Blue">
      <a:srgbClr val="008DD5"/>
    </a:custClr>
  </a:custClrLst>
  <a:extLst>
    <a:ext uri="{05A4C25C-085E-4340-85A3-A5531E510DB2}">
      <thm15:themeFamily xmlns:thm15="http://schemas.microsoft.com/office/thememl/2012/main" name="Theme2" id="{364C6DDE-B59D-4FA2-971E-9472DDCCFE42}" vid="{828A8AB6-9D5F-427A-B453-10415CBE925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7.xml"/><Relationship Id="rId4" Type="http://schemas.openxmlformats.org/officeDocument/2006/relationships/table" Target="../tables/table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aturalgasintel.com/natural-gas-converter/" TargetMode="External"/><Relationship Id="rId18" Type="http://schemas.openxmlformats.org/officeDocument/2006/relationships/hyperlink" Target="https://www.eia.gov/dnav/pet/hist/LeafHandler.ashx?n=PET&amp;s=EMA_EPPK_PWG_NUS_DPG&amp;f=M" TargetMode="External"/><Relationship Id="rId26" Type="http://schemas.openxmlformats.org/officeDocument/2006/relationships/hyperlink" Target="https://www.eia.gov/energyexplained/coal/prices-and-outlook.php" TargetMode="External"/><Relationship Id="rId21" Type="http://schemas.openxmlformats.org/officeDocument/2006/relationships/hyperlink" Target="https://www.eia.gov/dnav/pet/pet_pri_gnd_dcus_nus_a.htm" TargetMode="External"/><Relationship Id="rId34" Type="http://schemas.openxmlformats.org/officeDocument/2006/relationships/table" Target="../tables/table18.xml"/><Relationship Id="rId7" Type="http://schemas.openxmlformats.org/officeDocument/2006/relationships/hyperlink" Target="https://www.enerdynamics.com/Energy-Insider_Blog/Understanding-Natural-Gas-Units-Is-Fundamental-to-Understanding-the-Gas-Industry.aspx" TargetMode="External"/><Relationship Id="rId12" Type="http://schemas.openxmlformats.org/officeDocument/2006/relationships/hyperlink" Target="https://www.naturalgasintel.com/natural-gas-converter/" TargetMode="External"/><Relationship Id="rId17" Type="http://schemas.openxmlformats.org/officeDocument/2006/relationships/hyperlink" Target="https://www.eia.gov/energyexplained/coal/prices-and-outlook.php" TargetMode="External"/><Relationship Id="rId25" Type="http://schemas.openxmlformats.org/officeDocument/2006/relationships/hyperlink" Target="https://www.eia.gov/energyexplained/coal/prices-and-outlook.php" TargetMode="External"/><Relationship Id="rId33" Type="http://schemas.openxmlformats.org/officeDocument/2006/relationships/table" Target="../tables/table17.xml"/><Relationship Id="rId2" Type="http://schemas.openxmlformats.org/officeDocument/2006/relationships/hyperlink" Target="https://www.enerdynamics.com/Energy-Insider_Blog/Understanding-Natural-Gas-Units-Is-Fundamental-to-Understanding-the-Gas-Industry.aspx" TargetMode="External"/><Relationship Id="rId16" Type="http://schemas.openxmlformats.org/officeDocument/2006/relationships/hyperlink" Target="https://www.eia.gov/electricity/monthly/epm_table_grapher.php?t=epmt_5_6_a" TargetMode="External"/><Relationship Id="rId20" Type="http://schemas.openxmlformats.org/officeDocument/2006/relationships/hyperlink" Target="https://www.eia.gov/dnav/pet/pet_pri_gnd_dcus_nus_a.htm" TargetMode="External"/><Relationship Id="rId29" Type="http://schemas.openxmlformats.org/officeDocument/2006/relationships/hyperlink" Target="https://www.eia.gov/dnav/pet/hist/LeafHandler.ashx?n=pet&amp;s=f000000__3&amp;f=m" TargetMode="External"/><Relationship Id="rId1" Type="http://schemas.openxmlformats.org/officeDocument/2006/relationships/hyperlink" Target="https://www.eia.gov/tools/faqs/faq.php?id=45&amp;t=8" TargetMode="External"/><Relationship Id="rId6" Type="http://schemas.openxmlformats.org/officeDocument/2006/relationships/hyperlink" Target="https://www.enerdynamics.com/Energy-Insider_Blog/Understanding-Natural-Gas-Units-Is-Fundamental-to-Understanding-the-Gas-Industry.aspx" TargetMode="External"/><Relationship Id="rId11" Type="http://schemas.openxmlformats.org/officeDocument/2006/relationships/hyperlink" Target="https://www.naturalgasintel.com/natural-gas-converter/" TargetMode="External"/><Relationship Id="rId24" Type="http://schemas.openxmlformats.org/officeDocument/2006/relationships/hyperlink" Target="https://www.eia.gov/energyexplained/coal/prices-and-outlook.php" TargetMode="External"/><Relationship Id="rId32" Type="http://schemas.openxmlformats.org/officeDocument/2006/relationships/printerSettings" Target="../printerSettings/printerSettings5.bin"/><Relationship Id="rId37" Type="http://schemas.openxmlformats.org/officeDocument/2006/relationships/table" Target="../tables/table21.xml"/><Relationship Id="rId5" Type="http://schemas.openxmlformats.org/officeDocument/2006/relationships/hyperlink" Target="https://www.enerdynamics.com/Energy-Insider_Blog/Understanding-Natural-Gas-Units-Is-Fundamental-to-Understanding-the-Gas-Industry.aspx" TargetMode="External"/><Relationship Id="rId15" Type="http://schemas.openxmlformats.org/officeDocument/2006/relationships/hyperlink" Target="https://www.naturalgasintel.com/natural-gas-converter/" TargetMode="External"/><Relationship Id="rId23" Type="http://schemas.openxmlformats.org/officeDocument/2006/relationships/hyperlink" Target="https://www.eia.gov/energyexplained/coal/prices-and-outlook.php" TargetMode="External"/><Relationship Id="rId28" Type="http://schemas.openxmlformats.org/officeDocument/2006/relationships/hyperlink" Target="https://www.eia.gov/dnav/ng/hist/ngm_epg0_plc_nus_dmmbtuM.htm" TargetMode="External"/><Relationship Id="rId36" Type="http://schemas.openxmlformats.org/officeDocument/2006/relationships/table" Target="../tables/table20.xml"/><Relationship Id="rId10" Type="http://schemas.openxmlformats.org/officeDocument/2006/relationships/hyperlink" Target="https://www.epa.gov/system/files/documents/2024-01/egrid2022_summary_tables.pdf" TargetMode="External"/><Relationship Id="rId19" Type="http://schemas.openxmlformats.org/officeDocument/2006/relationships/hyperlink" Target="https://www.eia.gov/dnav/pet/pet_pri_gnd_dcus_nus_a.htm" TargetMode="External"/><Relationship Id="rId31" Type="http://schemas.openxmlformats.org/officeDocument/2006/relationships/hyperlink" Target="https://www.eia.gov/dnav/pet/hist/LeafHandler.ashx?n=pet&amp;s=f000000__3&amp;f=m" TargetMode="External"/><Relationship Id="rId4" Type="http://schemas.openxmlformats.org/officeDocument/2006/relationships/hyperlink" Target="https://www.enerdynamics.com/Energy-Insider_Blog/Understanding-Natural-Gas-Units-Is-Fundamental-to-Understanding-the-Gas-Industry.aspx" TargetMode="External"/><Relationship Id="rId9" Type="http://schemas.openxmlformats.org/officeDocument/2006/relationships/hyperlink" Target="https://www.enspireenergy.com/energy-conversion-calculator/" TargetMode="External"/><Relationship Id="rId14" Type="http://schemas.openxmlformats.org/officeDocument/2006/relationships/hyperlink" Target="https://www.naturalgasintel.com/natural-gas-converter/" TargetMode="External"/><Relationship Id="rId22" Type="http://schemas.openxmlformats.org/officeDocument/2006/relationships/hyperlink" Target="https://www.eia.gov/energyexplained/coal/prices-and-outlook.php" TargetMode="External"/><Relationship Id="rId27" Type="http://schemas.openxmlformats.org/officeDocument/2006/relationships/hyperlink" Target="https://www.eia.gov/energyexplained/hydrocarbon-gas-liquids/prices-for-hydrocarbon-gas-liquids.php" TargetMode="External"/><Relationship Id="rId30" Type="http://schemas.openxmlformats.org/officeDocument/2006/relationships/hyperlink" Target="https://www.eia.gov/dnav/pet/hist/LeafHandler.ashx?n=PET&amp;s=EMA_EPPR_PWG_NUS_DPG&amp;f=M" TargetMode="External"/><Relationship Id="rId35" Type="http://schemas.openxmlformats.org/officeDocument/2006/relationships/table" Target="../tables/table19.xml"/><Relationship Id="rId8" Type="http://schemas.openxmlformats.org/officeDocument/2006/relationships/hyperlink" Target="https://www.enspireenergy.com/energy-conversion-calculator/" TargetMode="External"/><Relationship Id="rId3" Type="http://schemas.openxmlformats.org/officeDocument/2006/relationships/hyperlink" Target="https://www.convertunits.com/from/million+Btu/to/gallon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2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c1.squarespace.com/static/5877e86f9de4bb8bce72105c/t/62fb89dfb827c92c3340eed9/1660652049933/Boiler+Electrification-final+Rev2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CE80-EE99-474C-A69E-C73DDF5C098D}">
  <sheetPr>
    <tabColor theme="7"/>
  </sheetPr>
  <dimension ref="A1:F28"/>
  <sheetViews>
    <sheetView showGridLines="0" tabSelected="1" zoomScaleNormal="100" workbookViewId="0">
      <pane ySplit="27" topLeftCell="A28" activePane="bottomLeft" state="frozen"/>
      <selection pane="bottomLeft" activeCell="E3" sqref="E3"/>
    </sheetView>
  </sheetViews>
  <sheetFormatPr defaultRowHeight="14" x14ac:dyDescent="0.3"/>
  <cols>
    <col min="1" max="1" width="5.09765625" customWidth="1"/>
    <col min="2" max="2" width="22.8984375" customWidth="1"/>
    <col min="3" max="3" width="31.09765625" customWidth="1"/>
    <col min="4" max="4" width="26.09765625" customWidth="1"/>
    <col min="5" max="5" width="27.3984375" customWidth="1"/>
    <col min="6" max="6" width="30.09765625" customWidth="1"/>
  </cols>
  <sheetData>
    <row r="1" spans="1:6" s="2" customFormat="1" ht="63.75" customHeight="1" x14ac:dyDescent="0.3">
      <c r="A1" s="1"/>
      <c r="B1" s="41"/>
      <c r="C1" s="463" t="s">
        <v>0</v>
      </c>
    </row>
    <row r="3" spans="1:6" ht="16.5" x14ac:dyDescent="0.3">
      <c r="B3" s="549" t="s">
        <v>451</v>
      </c>
    </row>
    <row r="5" spans="1:6" ht="16.5" x14ac:dyDescent="0.3">
      <c r="B5" s="550" t="s">
        <v>0</v>
      </c>
      <c r="C5" s="551"/>
      <c r="D5" s="551"/>
      <c r="E5" s="551"/>
      <c r="F5" s="551"/>
    </row>
    <row r="6" spans="1:6" ht="16.5" x14ac:dyDescent="0.3">
      <c r="B6" s="552" t="s">
        <v>1</v>
      </c>
    </row>
    <row r="7" spans="1:6" ht="16.5" x14ac:dyDescent="0.3">
      <c r="B7" s="552" t="s">
        <v>2</v>
      </c>
    </row>
    <row r="8" spans="1:6" ht="16.5" x14ac:dyDescent="0.3">
      <c r="B8" s="552" t="s">
        <v>3</v>
      </c>
    </row>
    <row r="10" spans="1:6" ht="16.5" x14ac:dyDescent="0.3">
      <c r="B10" s="550" t="s">
        <v>4</v>
      </c>
      <c r="C10" s="551"/>
      <c r="D10" s="551"/>
      <c r="E10" s="551"/>
      <c r="F10" s="551"/>
    </row>
    <row r="11" spans="1:6" ht="14.15" x14ac:dyDescent="0.3">
      <c r="B11" s="375" t="s">
        <v>454</v>
      </c>
      <c r="C11" s="375"/>
      <c r="D11" s="375"/>
      <c r="E11" s="375"/>
      <c r="F11" s="375"/>
    </row>
    <row r="12" spans="1:6" ht="14.15" x14ac:dyDescent="0.3">
      <c r="B12" s="375" t="s">
        <v>452</v>
      </c>
      <c r="C12" s="375"/>
      <c r="D12" s="375"/>
      <c r="E12" s="375"/>
      <c r="F12" s="375"/>
    </row>
    <row r="13" spans="1:6" ht="14.15" x14ac:dyDescent="0.3">
      <c r="B13" s="375" t="s">
        <v>453</v>
      </c>
      <c r="C13" s="375"/>
      <c r="D13" s="375"/>
      <c r="E13" s="375"/>
      <c r="F13" s="375"/>
    </row>
    <row r="14" spans="1:6" ht="14.15" x14ac:dyDescent="0.3">
      <c r="B14" s="375" t="s">
        <v>455</v>
      </c>
      <c r="C14" s="375"/>
      <c r="D14" s="375"/>
      <c r="E14" s="375"/>
      <c r="F14" s="375"/>
    </row>
    <row r="16" spans="1:6" ht="16.5" x14ac:dyDescent="0.3">
      <c r="B16" s="550" t="s">
        <v>5</v>
      </c>
      <c r="C16" s="551"/>
      <c r="D16" s="551"/>
      <c r="E16" s="551"/>
      <c r="F16" s="551"/>
    </row>
    <row r="17" spans="2:6" ht="16.5" x14ac:dyDescent="0.3">
      <c r="C17" s="451" t="s">
        <v>6</v>
      </c>
      <c r="D17" s="451"/>
    </row>
    <row r="18" spans="2:6" ht="16.5" x14ac:dyDescent="0.3">
      <c r="C18" s="451" t="s">
        <v>7</v>
      </c>
      <c r="D18" s="451"/>
    </row>
    <row r="20" spans="2:6" ht="16.5" x14ac:dyDescent="0.3">
      <c r="B20" s="550" t="s">
        <v>8</v>
      </c>
      <c r="C20" s="551"/>
      <c r="D20" s="551"/>
      <c r="E20" s="551"/>
      <c r="F20" s="551"/>
    </row>
    <row r="21" spans="2:6" ht="16.5" x14ac:dyDescent="0.3">
      <c r="B21" s="452" t="s">
        <v>9</v>
      </c>
      <c r="C21" s="51" t="s">
        <v>10</v>
      </c>
      <c r="D21" s="452" t="s">
        <v>11</v>
      </c>
      <c r="E21" s="452" t="s">
        <v>12</v>
      </c>
      <c r="F21" s="452" t="s">
        <v>13</v>
      </c>
    </row>
    <row r="22" spans="2:6" ht="16.5" x14ac:dyDescent="0.3">
      <c r="B22" s="453"/>
      <c r="C22" s="459"/>
      <c r="D22" s="453"/>
      <c r="E22" s="453"/>
      <c r="F22" s="454"/>
    </row>
    <row r="28" spans="2:6" ht="16.5" x14ac:dyDescent="0.3">
      <c r="C28" s="51"/>
      <c r="D28" s="51"/>
      <c r="E28" s="51"/>
      <c r="F28" s="51"/>
    </row>
  </sheetData>
  <sheetProtection algorithmName="SHA-512" hashValue="tWz2fr2y6qs1UoehCOJPeWkEYjZzAIrds1yXJTIZYwj8MLkcBeePUB3CcmM8DSAdKU5eDS1VnK5iTItq+L502g==" saltValue="MGp/ivQM0U8XMzXa4WCCKQ==" spinCount="100000" sheet="1" objects="1" scenarios="1"/>
  <hyperlinks>
    <hyperlink ref="B6" location="'1. Emissions Forecast'!A1" display="1. Emissions Forecast" xr:uid="{FDB487C4-9720-43B5-AFCB-B8F60EC1FFD5}"/>
    <hyperlink ref="B7" location="'2. Facility Emissions'!A1" display="2. Facility Emissions" xr:uid="{74534997-CA0B-43EC-8FBA-D0026200E03F}"/>
    <hyperlink ref="B8" location="'3. Decarbonization Strategy'!A1" display="3. Decarbonization Strategy" xr:uid="{6EA86585-0584-46D7-B098-A263667A518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2CA5-CE84-4276-85A4-9878D481C47E}">
  <sheetPr>
    <tabColor theme="7"/>
  </sheetPr>
  <dimension ref="A1:L62"/>
  <sheetViews>
    <sheetView showGridLines="0" zoomScale="80" zoomScaleNormal="80" workbookViewId="0">
      <pane ySplit="1" topLeftCell="A16" activePane="bottomLeft" state="frozen"/>
      <selection pane="bottomLeft" activeCell="H20" sqref="H20"/>
    </sheetView>
  </sheetViews>
  <sheetFormatPr defaultRowHeight="14" x14ac:dyDescent="0.3"/>
  <cols>
    <col min="2" max="2" width="33.8984375" customWidth="1"/>
    <col min="3" max="3" width="35.3984375" customWidth="1"/>
  </cols>
  <sheetData>
    <row r="1" spans="1:12" s="2" customFormat="1" ht="68.25" customHeight="1" x14ac:dyDescent="0.3">
      <c r="A1" s="1"/>
      <c r="C1" s="41" t="s">
        <v>14</v>
      </c>
    </row>
    <row r="2" spans="1:12" s="3" customFormat="1" ht="16.5" x14ac:dyDescent="0.3">
      <c r="A2" s="4"/>
    </row>
    <row r="3" spans="1:12" s="6" customFormat="1" ht="15.5" x14ac:dyDescent="0.35">
      <c r="A3" s="358" t="s">
        <v>15</v>
      </c>
    </row>
    <row r="4" spans="1:12" s="3" customFormat="1" x14ac:dyDescent="0.3">
      <c r="A4" s="4"/>
    </row>
    <row r="5" spans="1:12" s="3" customFormat="1" x14ac:dyDescent="0.3">
      <c r="A5" s="4"/>
      <c r="B5" s="373" t="s">
        <v>16</v>
      </c>
      <c r="C5" s="374"/>
    </row>
    <row r="6" spans="1:12" s="3" customFormat="1" ht="14.5" thickBot="1" x14ac:dyDescent="0.35">
      <c r="A6" s="4"/>
    </row>
    <row r="7" spans="1:12" s="3" customFormat="1" x14ac:dyDescent="0.3">
      <c r="B7" s="42" t="s">
        <v>9</v>
      </c>
      <c r="C7" s="484">
        <f>Instructions!B22</f>
        <v>0</v>
      </c>
    </row>
    <row r="8" spans="1:12" s="3" customFormat="1" x14ac:dyDescent="0.3">
      <c r="B8" s="125" t="s">
        <v>10</v>
      </c>
      <c r="C8" s="485">
        <f>Instructions!C22</f>
        <v>0</v>
      </c>
    </row>
    <row r="9" spans="1:12" s="3" customFormat="1" x14ac:dyDescent="0.3">
      <c r="B9" s="43" t="s">
        <v>17</v>
      </c>
      <c r="C9" s="486">
        <v>2019</v>
      </c>
    </row>
    <row r="10" spans="1:12" s="3" customFormat="1" ht="14.5" thickBot="1" x14ac:dyDescent="0.35">
      <c r="B10" s="44" t="s">
        <v>18</v>
      </c>
      <c r="C10" s="511">
        <v>2023</v>
      </c>
    </row>
    <row r="11" spans="1:12" s="3" customFormat="1" x14ac:dyDescent="0.3"/>
    <row r="12" spans="1:12" s="3" customFormat="1" x14ac:dyDescent="0.3"/>
    <row r="13" spans="1:12" s="6" customFormat="1" ht="15.5" x14ac:dyDescent="0.35">
      <c r="A13" s="358" t="s">
        <v>19</v>
      </c>
    </row>
    <row r="15" spans="1:12" x14ac:dyDescent="0.3">
      <c r="B15" s="373" t="s">
        <v>20</v>
      </c>
      <c r="C15" s="374"/>
      <c r="D15" s="374"/>
      <c r="E15" s="374"/>
      <c r="F15" s="374"/>
      <c r="G15" s="374"/>
      <c r="H15" s="374"/>
      <c r="I15" s="374"/>
      <c r="J15" s="374"/>
      <c r="K15" s="374"/>
      <c r="L15" s="374"/>
    </row>
    <row r="16" spans="1:12" x14ac:dyDescent="0.3">
      <c r="B16" s="373" t="s">
        <v>21</v>
      </c>
      <c r="C16" s="374"/>
      <c r="D16" s="374"/>
      <c r="E16" s="374"/>
      <c r="F16" s="374"/>
      <c r="G16" s="374"/>
      <c r="H16" s="374"/>
      <c r="I16" s="374"/>
      <c r="J16" s="374"/>
      <c r="K16" s="374"/>
      <c r="L16" s="374"/>
    </row>
    <row r="17" spans="1:10" ht="14.5" thickBot="1" x14ac:dyDescent="0.35"/>
    <row r="18" spans="1:10" ht="14.5" thickBot="1" x14ac:dyDescent="0.35">
      <c r="B18" s="554" t="s">
        <v>22</v>
      </c>
      <c r="C18" s="555"/>
    </row>
    <row r="19" spans="1:10" x14ac:dyDescent="0.3">
      <c r="B19" s="46" t="s">
        <v>23</v>
      </c>
      <c r="C19" s="512">
        <v>0</v>
      </c>
    </row>
    <row r="20" spans="1:10" ht="14.5" thickBot="1" x14ac:dyDescent="0.35"/>
    <row r="21" spans="1:10" ht="14.5" thickBot="1" x14ac:dyDescent="0.35">
      <c r="B21" s="554" t="s">
        <v>24</v>
      </c>
      <c r="C21" s="555"/>
    </row>
    <row r="22" spans="1:10" x14ac:dyDescent="0.3">
      <c r="B22" s="46" t="s">
        <v>25</v>
      </c>
      <c r="C22" s="488">
        <f>C10</f>
        <v>2023</v>
      </c>
    </row>
    <row r="23" spans="1:10" x14ac:dyDescent="0.3">
      <c r="B23" s="45" t="s">
        <v>23</v>
      </c>
      <c r="C23" s="513">
        <v>0</v>
      </c>
    </row>
    <row r="26" spans="1:10" s="6" customFormat="1" ht="15.5" x14ac:dyDescent="0.35">
      <c r="A26" s="358" t="s">
        <v>26</v>
      </c>
    </row>
    <row r="28" spans="1:10" x14ac:dyDescent="0.3">
      <c r="B28" s="373" t="s">
        <v>27</v>
      </c>
      <c r="C28" s="374"/>
      <c r="D28" s="374"/>
      <c r="E28" s="374"/>
      <c r="F28" s="374"/>
      <c r="G28" s="374"/>
      <c r="H28" s="374"/>
      <c r="I28" s="374"/>
      <c r="J28" s="374"/>
    </row>
    <row r="29" spans="1:10" x14ac:dyDescent="0.3">
      <c r="B29" s="373" t="s">
        <v>28</v>
      </c>
      <c r="C29" s="374"/>
      <c r="D29" s="374"/>
      <c r="E29" s="374"/>
      <c r="F29" s="374"/>
      <c r="G29" s="374"/>
      <c r="H29" s="374"/>
      <c r="I29" s="374"/>
      <c r="J29" s="374"/>
    </row>
    <row r="30" spans="1:10" ht="14.5" thickBot="1" x14ac:dyDescent="0.35"/>
    <row r="31" spans="1:10" ht="14.5" thickBot="1" x14ac:dyDescent="0.35">
      <c r="B31" s="315" t="s">
        <v>29</v>
      </c>
      <c r="C31" s="514">
        <v>0</v>
      </c>
    </row>
    <row r="34" spans="1:11" s="457" customFormat="1" ht="15.5" x14ac:dyDescent="0.35">
      <c r="A34" s="455" t="s">
        <v>30</v>
      </c>
      <c r="B34" s="456"/>
    </row>
    <row r="36" spans="1:11" x14ac:dyDescent="0.3">
      <c r="B36" s="373" t="s">
        <v>31</v>
      </c>
      <c r="C36" s="374"/>
      <c r="D36" s="374"/>
      <c r="E36" s="374"/>
      <c r="F36" s="374"/>
      <c r="G36" s="374"/>
      <c r="H36" s="374"/>
      <c r="I36" s="374"/>
      <c r="J36" s="374"/>
      <c r="K36" s="374"/>
    </row>
    <row r="37" spans="1:11" x14ac:dyDescent="0.3">
      <c r="B37" s="373" t="s">
        <v>32</v>
      </c>
      <c r="C37" s="374"/>
      <c r="D37" s="374"/>
      <c r="E37" s="374"/>
      <c r="F37" s="374"/>
      <c r="G37" s="374"/>
      <c r="H37" s="374"/>
      <c r="I37" s="374"/>
      <c r="J37" s="374"/>
      <c r="K37" s="374"/>
    </row>
    <row r="62" spans="2:2" x14ac:dyDescent="0.3">
      <c r="B62" s="451" t="s">
        <v>33</v>
      </c>
    </row>
  </sheetData>
  <sheetProtection algorithmName="SHA-512" hashValue="u4ISEJn09t0SJhTzDF45JRbo3/k04ofPS7BkFwtVwDXmAhWzaFpgVSBkUhRjUWx+IcJTsnjqKsJq9F6VjOjEsw==" saltValue="3dhjZkBZvYDYJ9EWxxIYLg==" spinCount="100000" sheet="1" objects="1" scenarios="1"/>
  <mergeCells count="2">
    <mergeCell ref="B18:C18"/>
    <mergeCell ref="B21:C2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3B4FC6DB-FF05-4C50-B6E9-9361642D1090}">
          <x14:formula1>
            <xm:f>'Emissions Forecast Data'!$B$48:$B$53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17BD-675E-49F8-8993-9ABFB0288F33}">
  <sheetPr>
    <tabColor theme="8"/>
  </sheetPr>
  <dimension ref="A1:AP53"/>
  <sheetViews>
    <sheetView showGridLines="0" zoomScaleNormal="100" workbookViewId="0">
      <pane ySplit="1" topLeftCell="A21" activePane="bottomLeft" state="frozen"/>
      <selection activeCell="B10" sqref="B10"/>
      <selection pane="bottomLeft" activeCell="G16" sqref="G16"/>
    </sheetView>
  </sheetViews>
  <sheetFormatPr defaultColWidth="10.296875" defaultRowHeight="14" x14ac:dyDescent="0.3"/>
  <cols>
    <col min="1" max="1" width="1.8984375" style="3" customWidth="1"/>
    <col min="2" max="2" width="34.3984375" style="3" customWidth="1"/>
    <col min="3" max="3" width="13.8984375" style="3" customWidth="1"/>
    <col min="4" max="35" width="12.09765625" style="3" customWidth="1"/>
    <col min="36" max="40" width="15.09765625" style="3" customWidth="1"/>
    <col min="41" max="16384" width="10.296875" style="3"/>
  </cols>
  <sheetData>
    <row r="1" spans="1:42" s="2" customFormat="1" ht="50.25" customHeight="1" x14ac:dyDescent="0.3">
      <c r="A1" s="1"/>
      <c r="C1" s="41" t="s">
        <v>34</v>
      </c>
    </row>
    <row r="2" spans="1:42" ht="16.5" x14ac:dyDescent="0.3">
      <c r="B2" s="9"/>
    </row>
    <row r="3" spans="1:42" s="6" customFormat="1" ht="16.5" x14ac:dyDescent="0.3">
      <c r="A3" s="5" t="s">
        <v>35</v>
      </c>
      <c r="B3" s="5"/>
    </row>
    <row r="4" spans="1:42" ht="17.25" thickBot="1" x14ac:dyDescent="0.35">
      <c r="D4" s="10"/>
      <c r="F4" s="8"/>
    </row>
    <row r="5" spans="1:42" ht="16.5" x14ac:dyDescent="0.3">
      <c r="B5" s="74" t="s">
        <v>18</v>
      </c>
      <c r="C5" s="75">
        <f>'1. Emissions Forecast'!C10</f>
        <v>2023</v>
      </c>
      <c r="D5" s="10"/>
      <c r="F5" s="8"/>
    </row>
    <row r="6" spans="1:42" ht="17.25" thickBot="1" x14ac:dyDescent="0.35">
      <c r="B6" s="76" t="s">
        <v>29</v>
      </c>
      <c r="C6" s="77">
        <f>'1. Emissions Forecast'!C31</f>
        <v>0</v>
      </c>
      <c r="D6" s="10"/>
      <c r="F6" s="8"/>
    </row>
    <row r="7" spans="1:42" ht="16.5" x14ac:dyDescent="0.3">
      <c r="D7" s="10"/>
      <c r="F7" s="8"/>
    </row>
    <row r="8" spans="1:42" ht="17.25" thickBot="1" x14ac:dyDescent="0.35">
      <c r="B8" s="7" t="s">
        <v>36</v>
      </c>
      <c r="D8" s="10"/>
      <c r="E8" s="11"/>
      <c r="F8" s="8"/>
      <c r="AK8" s="11"/>
      <c r="AL8" s="11"/>
      <c r="AM8" s="11"/>
    </row>
    <row r="9" spans="1:42" ht="15.75" customHeight="1" thickBot="1" x14ac:dyDescent="0.35">
      <c r="B9" s="70" t="s">
        <v>37</v>
      </c>
      <c r="C9" s="71" t="s">
        <v>38</v>
      </c>
      <c r="D9" s="71">
        <v>2019</v>
      </c>
      <c r="E9" s="71">
        <v>2020</v>
      </c>
      <c r="F9" s="71">
        <v>2021</v>
      </c>
      <c r="G9" s="71">
        <v>2022</v>
      </c>
      <c r="H9" s="71">
        <v>2023</v>
      </c>
      <c r="I9" s="71">
        <v>2024</v>
      </c>
      <c r="J9" s="71">
        <v>2025</v>
      </c>
      <c r="K9" s="71">
        <v>2026</v>
      </c>
      <c r="L9" s="71">
        <v>2027</v>
      </c>
      <c r="M9" s="71">
        <v>2028</v>
      </c>
      <c r="N9" s="71">
        <v>2029</v>
      </c>
      <c r="O9" s="72">
        <v>2030</v>
      </c>
      <c r="P9" s="71">
        <v>2031</v>
      </c>
      <c r="Q9" s="71">
        <v>2032</v>
      </c>
      <c r="R9" s="71">
        <v>2033</v>
      </c>
      <c r="S9" s="71">
        <v>2034</v>
      </c>
      <c r="T9" s="71">
        <v>2035</v>
      </c>
      <c r="U9" s="71">
        <v>2036</v>
      </c>
      <c r="V9" s="71">
        <v>2037</v>
      </c>
      <c r="W9" s="71">
        <v>2038</v>
      </c>
      <c r="X9" s="71">
        <v>2039</v>
      </c>
      <c r="Y9" s="72">
        <v>2040</v>
      </c>
      <c r="Z9" s="71">
        <v>2041</v>
      </c>
      <c r="AA9" s="71">
        <v>2042</v>
      </c>
      <c r="AB9" s="71">
        <v>2043</v>
      </c>
      <c r="AC9" s="71">
        <v>2044</v>
      </c>
      <c r="AD9" s="71">
        <v>2045</v>
      </c>
      <c r="AE9" s="71">
        <v>2046</v>
      </c>
      <c r="AF9" s="71">
        <v>2047</v>
      </c>
      <c r="AG9" s="71">
        <v>2048</v>
      </c>
      <c r="AH9" s="71">
        <v>2049</v>
      </c>
      <c r="AI9" s="73">
        <v>2050</v>
      </c>
      <c r="AN9" s="12"/>
      <c r="AO9" s="12"/>
      <c r="AP9" s="12"/>
    </row>
    <row r="10" spans="1:42" ht="14.25" customHeight="1" x14ac:dyDescent="0.3">
      <c r="B10" s="78" t="s">
        <v>39</v>
      </c>
      <c r="C10" s="57" t="s">
        <v>40</v>
      </c>
      <c r="D10" s="61">
        <f>'Facility Emissions'!$C$61</f>
        <v>0</v>
      </c>
      <c r="E10" s="61">
        <f>IF((E9&gt;=$C$5),'Facility Emissions'!$C$66,'Facility Emissions'!$C$61)</f>
        <v>0</v>
      </c>
      <c r="F10" s="61">
        <f>IF((F9&gt;=$C$5),'Facility Emissions'!$C$66,'Facility Emissions'!$C$61)</f>
        <v>0</v>
      </c>
      <c r="G10" s="61">
        <f>IF((G9&gt;=$C$5),'Facility Emissions'!$C$66,'Facility Emissions'!$C$61)</f>
        <v>0</v>
      </c>
      <c r="H10" s="61">
        <f>IF((H9&gt;=$C$5),'Facility Emissions'!$C$66,'Facility Emissions'!$C$61)</f>
        <v>0</v>
      </c>
      <c r="I10" s="61">
        <f>IF((I9&gt;=$C$5),'Facility Emissions'!$C$66,'Facility Emissions'!$C$61)</f>
        <v>0</v>
      </c>
      <c r="J10" s="61">
        <f>IF((J9&gt;=$C$5),'Facility Emissions'!$C$66,'Facility Emissions'!$C$61)</f>
        <v>0</v>
      </c>
      <c r="K10" s="61">
        <f>IF((K9&gt;=$C$5),'Facility Emissions'!$C$66,'Facility Emissions'!$C$61)</f>
        <v>0</v>
      </c>
      <c r="L10" s="61">
        <f>IF((L9&gt;=$C$5),'Facility Emissions'!$C$66,'Facility Emissions'!$C$61)</f>
        <v>0</v>
      </c>
      <c r="M10" s="61">
        <f>IF((M9&gt;=$C$5),'Facility Emissions'!$C$66,'Facility Emissions'!$C$61)</f>
        <v>0</v>
      </c>
      <c r="N10" s="61">
        <f>IF((N9&gt;=$C$5),'Facility Emissions'!$C$66,'Facility Emissions'!$C$61)</f>
        <v>0</v>
      </c>
      <c r="O10" s="62">
        <f>IF((O9&gt;=$C$5),'Facility Emissions'!$C$66,'Facility Emissions'!$C$61)</f>
        <v>0</v>
      </c>
      <c r="P10" s="61">
        <f>IF((P9&gt;=$C$5),'Facility Emissions'!$C$66,'Facility Emissions'!$C$61)</f>
        <v>0</v>
      </c>
      <c r="Q10" s="61">
        <f>IF((Q9&gt;=$C$5),'Facility Emissions'!$C$66,'Facility Emissions'!$C$61)</f>
        <v>0</v>
      </c>
      <c r="R10" s="61">
        <f>IF((R9&gt;=$C$5),'Facility Emissions'!$C$66,'Facility Emissions'!$C$61)</f>
        <v>0</v>
      </c>
      <c r="S10" s="61">
        <f>IF((S9&gt;=$C$5),'Facility Emissions'!$C$66,'Facility Emissions'!$C$61)</f>
        <v>0</v>
      </c>
      <c r="T10" s="61">
        <f>IF((T9&gt;=$C$5),'Facility Emissions'!$C$66,'Facility Emissions'!$C$61)</f>
        <v>0</v>
      </c>
      <c r="U10" s="61">
        <f>IF((U9&gt;=$C$5),'Facility Emissions'!$C$66,'Facility Emissions'!$C$61)</f>
        <v>0</v>
      </c>
      <c r="V10" s="61">
        <f>IF((V9&gt;=$C$5),'Facility Emissions'!$C$66,'Facility Emissions'!$C$61)</f>
        <v>0</v>
      </c>
      <c r="W10" s="61">
        <f>IF((W9&gt;=$C$5),'Facility Emissions'!$C$66,'Facility Emissions'!$C$61)</f>
        <v>0</v>
      </c>
      <c r="X10" s="61">
        <f>IF((X9&gt;=$C$5),'Facility Emissions'!$C$66,'Facility Emissions'!$C$61)</f>
        <v>0</v>
      </c>
      <c r="Y10" s="62">
        <f>IF((Y9&gt;=$C$5),'Facility Emissions'!$C$66,'Facility Emissions'!$C$61)</f>
        <v>0</v>
      </c>
      <c r="Z10" s="61">
        <f>IF((Z9&gt;=$C$5),'Facility Emissions'!$C$66,'Facility Emissions'!$C$61)</f>
        <v>0</v>
      </c>
      <c r="AA10" s="61">
        <f>IF((AA9&gt;=$C$5),'Facility Emissions'!$C$66,'Facility Emissions'!$C$61)</f>
        <v>0</v>
      </c>
      <c r="AB10" s="61">
        <f>IF((AB9&gt;=$C$5),'Facility Emissions'!$C$66,'Facility Emissions'!$C$61)</f>
        <v>0</v>
      </c>
      <c r="AC10" s="61">
        <f>IF((AC9&gt;=$C$5),'Facility Emissions'!$C$66,'Facility Emissions'!$C$61)</f>
        <v>0</v>
      </c>
      <c r="AD10" s="61">
        <f>IF((AD9&gt;=$C$5),'Facility Emissions'!$C$66,'Facility Emissions'!$C$61)</f>
        <v>0</v>
      </c>
      <c r="AE10" s="61">
        <f>IF((AE9&gt;=$C$5),'Facility Emissions'!$C$66,'Facility Emissions'!$C$61)</f>
        <v>0</v>
      </c>
      <c r="AF10" s="61">
        <f>IF((AF9&gt;=$C$5),'Facility Emissions'!$C$66,'Facility Emissions'!$C$61)</f>
        <v>0</v>
      </c>
      <c r="AG10" s="61">
        <f>IF((AG9&gt;=$C$5),'Facility Emissions'!$C$66,'Facility Emissions'!$C$61)</f>
        <v>0</v>
      </c>
      <c r="AH10" s="61">
        <f>IF((AH9&gt;=$C$5),'Facility Emissions'!$C$66,'Facility Emissions'!$C$61)</f>
        <v>0</v>
      </c>
      <c r="AI10" s="63">
        <f>IF((AI9&gt;=$C$5),'Facility Emissions'!$C$66,'Facility Emissions'!$C$61)</f>
        <v>0</v>
      </c>
    </row>
    <row r="11" spans="1:42" ht="14.25" customHeight="1" x14ac:dyDescent="0.3">
      <c r="B11" s="79" t="s">
        <v>41</v>
      </c>
      <c r="C11" s="55" t="s">
        <v>40</v>
      </c>
      <c r="D11" s="58">
        <f>'Facility Emissions'!$C$62</f>
        <v>0</v>
      </c>
      <c r="E11" s="58">
        <f>IF((E9&gt;=$C$5),'Facility Emissions'!$C$67,'Facility Emissions'!$C$62)</f>
        <v>0</v>
      </c>
      <c r="F11" s="58">
        <f>IF((F9&gt;=$C$5),'Facility Emissions'!$C$67,'Facility Emissions'!$C$62)</f>
        <v>0</v>
      </c>
      <c r="G11" s="58">
        <f>IF((G9&gt;=$C$5),'Facility Emissions'!$C$67,'Facility Emissions'!$C$62)</f>
        <v>0</v>
      </c>
      <c r="H11" s="58">
        <f>IF((H9&gt;=$C$5),'Facility Emissions'!$C$67,'Facility Emissions'!$C$62)</f>
        <v>0</v>
      </c>
      <c r="I11" s="58">
        <f>IF((I9&gt;=$C$5),'Facility Emissions'!$C$67,'Facility Emissions'!$C$62)</f>
        <v>0</v>
      </c>
      <c r="J11" s="58">
        <f>IF((J9&gt;=$C$5),'Facility Emissions'!$C$67,'Facility Emissions'!$C$62)</f>
        <v>0</v>
      </c>
      <c r="K11" s="58">
        <f>IF((K9&gt;=$C$5),'Facility Emissions'!$C$67,'Facility Emissions'!$C$62)</f>
        <v>0</v>
      </c>
      <c r="L11" s="58">
        <f>IF((L9&gt;=$C$5),'Facility Emissions'!$C$67,'Facility Emissions'!$C$62)</f>
        <v>0</v>
      </c>
      <c r="M11" s="58">
        <f>IF((M9&gt;=$C$5),'Facility Emissions'!$C$67,'Facility Emissions'!$C$62)</f>
        <v>0</v>
      </c>
      <c r="N11" s="58">
        <f>IF((N9&gt;=$C$5),'Facility Emissions'!$C$67,'Facility Emissions'!$C$62)</f>
        <v>0</v>
      </c>
      <c r="O11" s="59">
        <f>IF((O9&gt;=$C$5),'Facility Emissions'!$C$67,'Facility Emissions'!$C$62)</f>
        <v>0</v>
      </c>
      <c r="P11" s="58">
        <f>IF((P9&gt;=$C$5),'Facility Emissions'!$C$67,'Facility Emissions'!$C$62)</f>
        <v>0</v>
      </c>
      <c r="Q11" s="58">
        <f>IF((Q9&gt;=$C$5),'Facility Emissions'!$C$67,'Facility Emissions'!$C$62)</f>
        <v>0</v>
      </c>
      <c r="R11" s="58">
        <f>IF((R9&gt;=$C$5),'Facility Emissions'!$C$67,'Facility Emissions'!$C$62)</f>
        <v>0</v>
      </c>
      <c r="S11" s="58">
        <f>IF((S9&gt;=$C$5),'Facility Emissions'!$C$67,'Facility Emissions'!$C$62)</f>
        <v>0</v>
      </c>
      <c r="T11" s="58">
        <f>IF((T9&gt;=$C$5),'Facility Emissions'!$C$67,'Facility Emissions'!$C$62)</f>
        <v>0</v>
      </c>
      <c r="U11" s="58">
        <f>IF((U9&gt;=$C$5),'Facility Emissions'!$C$67,'Facility Emissions'!$C$62)</f>
        <v>0</v>
      </c>
      <c r="V11" s="58">
        <f>IF((V9&gt;=$C$5),'Facility Emissions'!$C$67,'Facility Emissions'!$C$62)</f>
        <v>0</v>
      </c>
      <c r="W11" s="58">
        <f>IF((W9&gt;=$C$5),'Facility Emissions'!$C$67,'Facility Emissions'!$C$62)</f>
        <v>0</v>
      </c>
      <c r="X11" s="58">
        <f>IF((X9&gt;=$C$5),'Facility Emissions'!$C$67,'Facility Emissions'!$C$62)</f>
        <v>0</v>
      </c>
      <c r="Y11" s="59">
        <f>IF((Y9&gt;=$C$5),'Facility Emissions'!$C$67,'Facility Emissions'!$C$62)</f>
        <v>0</v>
      </c>
      <c r="Z11" s="58">
        <f>IF((Z9&gt;=$C$5),'Facility Emissions'!$C$67,'Facility Emissions'!$C$62)</f>
        <v>0</v>
      </c>
      <c r="AA11" s="58">
        <f>IF((AA9&gt;=$C$5),'Facility Emissions'!$C$67,'Facility Emissions'!$C$62)</f>
        <v>0</v>
      </c>
      <c r="AB11" s="58">
        <f>IF((AB9&gt;=$C$5),'Facility Emissions'!$C$67,'Facility Emissions'!$C$62)</f>
        <v>0</v>
      </c>
      <c r="AC11" s="58">
        <f>IF((AC9&gt;=$C$5),'Facility Emissions'!$C$67,'Facility Emissions'!$C$62)</f>
        <v>0</v>
      </c>
      <c r="AD11" s="58">
        <f>IF((AD9&gt;=$C$5),'Facility Emissions'!$C$67,'Facility Emissions'!$C$62)</f>
        <v>0</v>
      </c>
      <c r="AE11" s="58">
        <f>IF((AE9&gt;=$C$5),'Facility Emissions'!$C$67,'Facility Emissions'!$C$62)</f>
        <v>0</v>
      </c>
      <c r="AF11" s="58">
        <f>IF((AF9&gt;=$C$5),'Facility Emissions'!$C$67,'Facility Emissions'!$C$62)</f>
        <v>0</v>
      </c>
      <c r="AG11" s="58">
        <f>IF((AG9&gt;=$C$5),'Facility Emissions'!$C$67,'Facility Emissions'!$C$62)</f>
        <v>0</v>
      </c>
      <c r="AH11" s="58">
        <f>IF((AH9&gt;=$C$5),'Facility Emissions'!$C$67,'Facility Emissions'!$C$62)</f>
        <v>0</v>
      </c>
      <c r="AI11" s="60">
        <f>IF((AI9&gt;=$C$5),'Facility Emissions'!$C$67,'Facility Emissions'!$C$62)</f>
        <v>0</v>
      </c>
    </row>
    <row r="12" spans="1:42" ht="17.25" thickBot="1" x14ac:dyDescent="0.35">
      <c r="B12" s="80" t="s">
        <v>42</v>
      </c>
      <c r="C12" s="56" t="s">
        <v>40</v>
      </c>
      <c r="D12" s="64">
        <f>SUM(D10:D11)</f>
        <v>0</v>
      </c>
      <c r="E12" s="64">
        <f t="shared" ref="E12:AI12" si="0">SUM(E10:E11)</f>
        <v>0</v>
      </c>
      <c r="F12" s="64">
        <f t="shared" si="0"/>
        <v>0</v>
      </c>
      <c r="G12" s="64">
        <f t="shared" si="0"/>
        <v>0</v>
      </c>
      <c r="H12" s="64">
        <f t="shared" si="0"/>
        <v>0</v>
      </c>
      <c r="I12" s="64">
        <f t="shared" si="0"/>
        <v>0</v>
      </c>
      <c r="J12" s="64">
        <f t="shared" si="0"/>
        <v>0</v>
      </c>
      <c r="K12" s="64">
        <f t="shared" si="0"/>
        <v>0</v>
      </c>
      <c r="L12" s="64">
        <f t="shared" si="0"/>
        <v>0</v>
      </c>
      <c r="M12" s="64">
        <f t="shared" si="0"/>
        <v>0</v>
      </c>
      <c r="N12" s="64">
        <f t="shared" si="0"/>
        <v>0</v>
      </c>
      <c r="O12" s="65">
        <f t="shared" si="0"/>
        <v>0</v>
      </c>
      <c r="P12" s="64">
        <f t="shared" si="0"/>
        <v>0</v>
      </c>
      <c r="Q12" s="64">
        <f t="shared" si="0"/>
        <v>0</v>
      </c>
      <c r="R12" s="64">
        <f t="shared" si="0"/>
        <v>0</v>
      </c>
      <c r="S12" s="64">
        <f t="shared" si="0"/>
        <v>0</v>
      </c>
      <c r="T12" s="64">
        <f t="shared" si="0"/>
        <v>0</v>
      </c>
      <c r="U12" s="64">
        <f t="shared" si="0"/>
        <v>0</v>
      </c>
      <c r="V12" s="64">
        <f t="shared" si="0"/>
        <v>0</v>
      </c>
      <c r="W12" s="64">
        <f t="shared" si="0"/>
        <v>0</v>
      </c>
      <c r="X12" s="64">
        <f t="shared" si="0"/>
        <v>0</v>
      </c>
      <c r="Y12" s="65">
        <f t="shared" si="0"/>
        <v>0</v>
      </c>
      <c r="Z12" s="64">
        <f t="shared" si="0"/>
        <v>0</v>
      </c>
      <c r="AA12" s="64">
        <f t="shared" si="0"/>
        <v>0</v>
      </c>
      <c r="AB12" s="64">
        <f t="shared" si="0"/>
        <v>0</v>
      </c>
      <c r="AC12" s="64">
        <f t="shared" si="0"/>
        <v>0</v>
      </c>
      <c r="AD12" s="64">
        <f t="shared" si="0"/>
        <v>0</v>
      </c>
      <c r="AE12" s="64">
        <f t="shared" si="0"/>
        <v>0</v>
      </c>
      <c r="AF12" s="64">
        <f t="shared" si="0"/>
        <v>0</v>
      </c>
      <c r="AG12" s="64">
        <f t="shared" si="0"/>
        <v>0</v>
      </c>
      <c r="AH12" s="64">
        <f t="shared" si="0"/>
        <v>0</v>
      </c>
      <c r="AI12" s="66">
        <f t="shared" si="0"/>
        <v>0</v>
      </c>
    </row>
    <row r="13" spans="1:42" customFormat="1" ht="16.5" x14ac:dyDescent="0.3">
      <c r="B13" s="52"/>
      <c r="C13" s="53"/>
      <c r="D13" s="27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</row>
    <row r="14" spans="1:42" ht="17.25" thickBot="1" x14ac:dyDescent="0.35">
      <c r="B14" s="7" t="s">
        <v>43</v>
      </c>
      <c r="D14" s="10"/>
      <c r="E14" s="11"/>
      <c r="F14" s="8"/>
      <c r="AK14" s="11"/>
      <c r="AL14" s="11"/>
      <c r="AM14" s="11"/>
    </row>
    <row r="15" spans="1:42" ht="15.75" customHeight="1" thickBot="1" x14ac:dyDescent="0.35">
      <c r="B15" s="70" t="s">
        <v>37</v>
      </c>
      <c r="C15" s="71" t="s">
        <v>38</v>
      </c>
      <c r="D15" s="71">
        <v>2019</v>
      </c>
      <c r="E15" s="71">
        <v>2020</v>
      </c>
      <c r="F15" s="71">
        <v>2021</v>
      </c>
      <c r="G15" s="71">
        <v>2022</v>
      </c>
      <c r="H15" s="71">
        <v>2023</v>
      </c>
      <c r="I15" s="71">
        <v>2024</v>
      </c>
      <c r="J15" s="71">
        <v>2025</v>
      </c>
      <c r="K15" s="71">
        <v>2026</v>
      </c>
      <c r="L15" s="71">
        <v>2027</v>
      </c>
      <c r="M15" s="71">
        <v>2028</v>
      </c>
      <c r="N15" s="71">
        <v>2029</v>
      </c>
      <c r="O15" s="72">
        <v>2030</v>
      </c>
      <c r="P15" s="71">
        <v>2031</v>
      </c>
      <c r="Q15" s="71">
        <v>2032</v>
      </c>
      <c r="R15" s="71">
        <v>2033</v>
      </c>
      <c r="S15" s="71">
        <v>2034</v>
      </c>
      <c r="T15" s="71">
        <v>2035</v>
      </c>
      <c r="U15" s="71">
        <v>2036</v>
      </c>
      <c r="V15" s="71">
        <v>2037</v>
      </c>
      <c r="W15" s="71">
        <v>2038</v>
      </c>
      <c r="X15" s="71">
        <v>2039</v>
      </c>
      <c r="Y15" s="72">
        <v>2040</v>
      </c>
      <c r="Z15" s="71">
        <v>2041</v>
      </c>
      <c r="AA15" s="71">
        <v>2042</v>
      </c>
      <c r="AB15" s="71">
        <v>2043</v>
      </c>
      <c r="AC15" s="71">
        <v>2044</v>
      </c>
      <c r="AD15" s="71">
        <v>2045</v>
      </c>
      <c r="AE15" s="71">
        <v>2046</v>
      </c>
      <c r="AF15" s="71">
        <v>2047</v>
      </c>
      <c r="AG15" s="71">
        <v>2048</v>
      </c>
      <c r="AH15" s="71">
        <v>2049</v>
      </c>
      <c r="AI15" s="73">
        <v>2050</v>
      </c>
      <c r="AN15" s="12"/>
      <c r="AO15" s="12"/>
      <c r="AP15" s="12"/>
    </row>
    <row r="16" spans="1:42" ht="14.25" customHeight="1" x14ac:dyDescent="0.3">
      <c r="B16" s="78" t="s">
        <v>39</v>
      </c>
      <c r="C16" s="57" t="s">
        <v>40</v>
      </c>
      <c r="D16" s="67">
        <f>D10</f>
        <v>0</v>
      </c>
      <c r="E16" s="67">
        <f>IF(E15=$C$5,E10*(1+$C$6),D16*(1+$C$6))</f>
        <v>0</v>
      </c>
      <c r="F16" s="67">
        <f>IF(F15=$C$5,F10*(1+$C$6),E16*(1+$C$6))</f>
        <v>0</v>
      </c>
      <c r="G16" s="67">
        <f>IF(G15=$C$5,G10*(1+$C$6),F16*(1+$C$6))</f>
        <v>0</v>
      </c>
      <c r="H16" s="67">
        <f t="shared" ref="H16:AI16" si="1">IF(H15=$C$5,H10*(1+$C$6),G16*(1+$C$6))</f>
        <v>0</v>
      </c>
      <c r="I16" s="67">
        <f t="shared" si="1"/>
        <v>0</v>
      </c>
      <c r="J16" s="67">
        <f>IF(J15=$C$5,J10*(1+$C$6),I16*(1+$C$6))</f>
        <v>0</v>
      </c>
      <c r="K16" s="67">
        <f t="shared" si="1"/>
        <v>0</v>
      </c>
      <c r="L16" s="67">
        <f t="shared" si="1"/>
        <v>0</v>
      </c>
      <c r="M16" s="67">
        <f t="shared" si="1"/>
        <v>0</v>
      </c>
      <c r="N16" s="67">
        <f t="shared" si="1"/>
        <v>0</v>
      </c>
      <c r="O16" s="62">
        <f t="shared" si="1"/>
        <v>0</v>
      </c>
      <c r="P16" s="67">
        <f t="shared" si="1"/>
        <v>0</v>
      </c>
      <c r="Q16" s="67">
        <f t="shared" si="1"/>
        <v>0</v>
      </c>
      <c r="R16" s="67">
        <f t="shared" si="1"/>
        <v>0</v>
      </c>
      <c r="S16" s="67">
        <f t="shared" si="1"/>
        <v>0</v>
      </c>
      <c r="T16" s="67">
        <f t="shared" si="1"/>
        <v>0</v>
      </c>
      <c r="U16" s="67">
        <f t="shared" si="1"/>
        <v>0</v>
      </c>
      <c r="V16" s="67">
        <f t="shared" si="1"/>
        <v>0</v>
      </c>
      <c r="W16" s="67">
        <f t="shared" si="1"/>
        <v>0</v>
      </c>
      <c r="X16" s="67">
        <f t="shared" si="1"/>
        <v>0</v>
      </c>
      <c r="Y16" s="62">
        <f t="shared" si="1"/>
        <v>0</v>
      </c>
      <c r="Z16" s="67">
        <f t="shared" si="1"/>
        <v>0</v>
      </c>
      <c r="AA16" s="67">
        <f t="shared" si="1"/>
        <v>0</v>
      </c>
      <c r="AB16" s="67">
        <f t="shared" si="1"/>
        <v>0</v>
      </c>
      <c r="AC16" s="67">
        <f t="shared" si="1"/>
        <v>0</v>
      </c>
      <c r="AD16" s="67">
        <f t="shared" si="1"/>
        <v>0</v>
      </c>
      <c r="AE16" s="67">
        <f t="shared" si="1"/>
        <v>0</v>
      </c>
      <c r="AF16" s="67">
        <f t="shared" si="1"/>
        <v>0</v>
      </c>
      <c r="AG16" s="67">
        <f t="shared" si="1"/>
        <v>0</v>
      </c>
      <c r="AH16" s="67">
        <f t="shared" si="1"/>
        <v>0</v>
      </c>
      <c r="AI16" s="63">
        <f t="shared" si="1"/>
        <v>0</v>
      </c>
      <c r="AK16" s="11"/>
    </row>
    <row r="17" spans="2:35" ht="14.25" customHeight="1" x14ac:dyDescent="0.3">
      <c r="B17" s="79" t="s">
        <v>41</v>
      </c>
      <c r="C17" s="55" t="s">
        <v>40</v>
      </c>
      <c r="D17" s="68">
        <f>D11</f>
        <v>0</v>
      </c>
      <c r="E17" s="67">
        <f>IF(E15=$C$5,E11*(1+$C$6),D17*(1+$C$6))</f>
        <v>0</v>
      </c>
      <c r="F17" s="67">
        <f t="shared" ref="F17:AI17" si="2">IF(F15=$C$5,F11*(1+$C$6),E17*(1+$C$6))</f>
        <v>0</v>
      </c>
      <c r="G17" s="67">
        <f t="shared" si="2"/>
        <v>0</v>
      </c>
      <c r="H17" s="67">
        <f t="shared" si="2"/>
        <v>0</v>
      </c>
      <c r="I17" s="67">
        <f t="shared" si="2"/>
        <v>0</v>
      </c>
      <c r="J17" s="67">
        <f t="shared" si="2"/>
        <v>0</v>
      </c>
      <c r="K17" s="67">
        <f t="shared" si="2"/>
        <v>0</v>
      </c>
      <c r="L17" s="67">
        <f t="shared" si="2"/>
        <v>0</v>
      </c>
      <c r="M17" s="67">
        <f t="shared" si="2"/>
        <v>0</v>
      </c>
      <c r="N17" s="67">
        <f t="shared" si="2"/>
        <v>0</v>
      </c>
      <c r="O17" s="62">
        <f t="shared" si="2"/>
        <v>0</v>
      </c>
      <c r="P17" s="67">
        <f t="shared" si="2"/>
        <v>0</v>
      </c>
      <c r="Q17" s="67">
        <f t="shared" si="2"/>
        <v>0</v>
      </c>
      <c r="R17" s="67">
        <f t="shared" si="2"/>
        <v>0</v>
      </c>
      <c r="S17" s="67">
        <f t="shared" si="2"/>
        <v>0</v>
      </c>
      <c r="T17" s="67">
        <f t="shared" si="2"/>
        <v>0</v>
      </c>
      <c r="U17" s="67">
        <f t="shared" si="2"/>
        <v>0</v>
      </c>
      <c r="V17" s="67">
        <f t="shared" si="2"/>
        <v>0</v>
      </c>
      <c r="W17" s="67">
        <f t="shared" si="2"/>
        <v>0</v>
      </c>
      <c r="X17" s="67">
        <f t="shared" si="2"/>
        <v>0</v>
      </c>
      <c r="Y17" s="62">
        <f t="shared" si="2"/>
        <v>0</v>
      </c>
      <c r="Z17" s="67">
        <f t="shared" si="2"/>
        <v>0</v>
      </c>
      <c r="AA17" s="67">
        <f t="shared" si="2"/>
        <v>0</v>
      </c>
      <c r="AB17" s="67">
        <f t="shared" si="2"/>
        <v>0</v>
      </c>
      <c r="AC17" s="67">
        <f t="shared" si="2"/>
        <v>0</v>
      </c>
      <c r="AD17" s="67">
        <f t="shared" si="2"/>
        <v>0</v>
      </c>
      <c r="AE17" s="67">
        <f t="shared" si="2"/>
        <v>0</v>
      </c>
      <c r="AF17" s="67">
        <f t="shared" si="2"/>
        <v>0</v>
      </c>
      <c r="AG17" s="67">
        <f t="shared" si="2"/>
        <v>0</v>
      </c>
      <c r="AH17" s="67">
        <f t="shared" si="2"/>
        <v>0</v>
      </c>
      <c r="AI17" s="63">
        <f t="shared" si="2"/>
        <v>0</v>
      </c>
    </row>
    <row r="18" spans="2:35" ht="15" customHeight="1" thickBot="1" x14ac:dyDescent="0.35">
      <c r="B18" s="80" t="s">
        <v>44</v>
      </c>
      <c r="C18" s="56" t="s">
        <v>40</v>
      </c>
      <c r="D18" s="69">
        <f>SUM(D16:D17)</f>
        <v>0</v>
      </c>
      <c r="E18" s="69">
        <f t="shared" ref="E18:AI18" si="3">SUM(E16:E17)</f>
        <v>0</v>
      </c>
      <c r="F18" s="69">
        <f t="shared" si="3"/>
        <v>0</v>
      </c>
      <c r="G18" s="69">
        <f t="shared" si="3"/>
        <v>0</v>
      </c>
      <c r="H18" s="69">
        <f t="shared" si="3"/>
        <v>0</v>
      </c>
      <c r="I18" s="69">
        <f t="shared" si="3"/>
        <v>0</v>
      </c>
      <c r="J18" s="69">
        <f t="shared" si="3"/>
        <v>0</v>
      </c>
      <c r="K18" s="69">
        <f t="shared" si="3"/>
        <v>0</v>
      </c>
      <c r="L18" s="69">
        <f t="shared" si="3"/>
        <v>0</v>
      </c>
      <c r="M18" s="69">
        <f t="shared" si="3"/>
        <v>0</v>
      </c>
      <c r="N18" s="69">
        <f t="shared" si="3"/>
        <v>0</v>
      </c>
      <c r="O18" s="65">
        <f t="shared" si="3"/>
        <v>0</v>
      </c>
      <c r="P18" s="69">
        <f t="shared" si="3"/>
        <v>0</v>
      </c>
      <c r="Q18" s="69">
        <f t="shared" si="3"/>
        <v>0</v>
      </c>
      <c r="R18" s="69">
        <f t="shared" si="3"/>
        <v>0</v>
      </c>
      <c r="S18" s="69">
        <f t="shared" si="3"/>
        <v>0</v>
      </c>
      <c r="T18" s="69">
        <f t="shared" si="3"/>
        <v>0</v>
      </c>
      <c r="U18" s="69">
        <f t="shared" si="3"/>
        <v>0</v>
      </c>
      <c r="V18" s="69">
        <f t="shared" si="3"/>
        <v>0</v>
      </c>
      <c r="W18" s="69">
        <f t="shared" si="3"/>
        <v>0</v>
      </c>
      <c r="X18" s="69">
        <f t="shared" si="3"/>
        <v>0</v>
      </c>
      <c r="Y18" s="65">
        <f t="shared" si="3"/>
        <v>0</v>
      </c>
      <c r="Z18" s="69">
        <f t="shared" si="3"/>
        <v>0</v>
      </c>
      <c r="AA18" s="69">
        <f t="shared" si="3"/>
        <v>0</v>
      </c>
      <c r="AB18" s="69">
        <f t="shared" si="3"/>
        <v>0</v>
      </c>
      <c r="AC18" s="69">
        <f t="shared" si="3"/>
        <v>0</v>
      </c>
      <c r="AD18" s="69">
        <f t="shared" si="3"/>
        <v>0</v>
      </c>
      <c r="AE18" s="69">
        <f t="shared" si="3"/>
        <v>0</v>
      </c>
      <c r="AF18" s="69">
        <f t="shared" si="3"/>
        <v>0</v>
      </c>
      <c r="AG18" s="69">
        <f t="shared" si="3"/>
        <v>0</v>
      </c>
      <c r="AH18" s="69">
        <f t="shared" si="3"/>
        <v>0</v>
      </c>
      <c r="AI18" s="66">
        <f t="shared" si="3"/>
        <v>0</v>
      </c>
    </row>
    <row r="19" spans="2:35" ht="16.5" x14ac:dyDescent="0.3">
      <c r="D19" s="10"/>
      <c r="F19" s="8"/>
    </row>
    <row r="47" spans="2:2" x14ac:dyDescent="0.3">
      <c r="B47" s="491" t="s">
        <v>18</v>
      </c>
    </row>
    <row r="48" spans="2:2" x14ac:dyDescent="0.3">
      <c r="B48" s="3">
        <v>2019</v>
      </c>
    </row>
    <row r="49" spans="2:2" x14ac:dyDescent="0.3">
      <c r="B49" s="3">
        <v>2020</v>
      </c>
    </row>
    <row r="50" spans="2:2" x14ac:dyDescent="0.3">
      <c r="B50" s="3">
        <v>2021</v>
      </c>
    </row>
    <row r="51" spans="2:2" x14ac:dyDescent="0.3">
      <c r="B51" s="3">
        <v>2022</v>
      </c>
    </row>
    <row r="52" spans="2:2" x14ac:dyDescent="0.3">
      <c r="B52" s="3">
        <v>2023</v>
      </c>
    </row>
    <row r="53" spans="2:2" x14ac:dyDescent="0.3">
      <c r="B53" s="3">
        <v>2024</v>
      </c>
    </row>
  </sheetData>
  <phoneticPr fontId="10" type="noConversion"/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897A-3554-4C61-BCD3-5EBD26C13DAC}">
  <sheetPr>
    <tabColor theme="8"/>
  </sheetPr>
  <dimension ref="A1:AP53"/>
  <sheetViews>
    <sheetView showGridLines="0" zoomScaleNormal="100" workbookViewId="0">
      <pane ySplit="1" topLeftCell="A12" activePane="bottomLeft" state="frozen"/>
      <selection activeCell="B10" sqref="B10"/>
      <selection pane="bottomLeft" activeCell="D12" sqref="D12:AI12"/>
    </sheetView>
  </sheetViews>
  <sheetFormatPr defaultColWidth="10.296875" defaultRowHeight="14" x14ac:dyDescent="0.3"/>
  <cols>
    <col min="1" max="1" width="1.8984375" style="3" customWidth="1"/>
    <col min="2" max="2" width="34.3984375" style="3" customWidth="1"/>
    <col min="3" max="3" width="13.8984375" style="3" customWidth="1"/>
    <col min="4" max="35" width="12.09765625" style="3" customWidth="1"/>
    <col min="36" max="40" width="15.09765625" style="3" customWidth="1"/>
    <col min="41" max="16384" width="10.296875" style="3"/>
  </cols>
  <sheetData>
    <row r="1" spans="1:42" s="2" customFormat="1" ht="50.25" customHeight="1" x14ac:dyDescent="0.3">
      <c r="A1" s="1"/>
      <c r="C1" s="41" t="s">
        <v>34</v>
      </c>
    </row>
    <row r="2" spans="1:42" ht="16.5" x14ac:dyDescent="0.3">
      <c r="B2" s="9"/>
    </row>
    <row r="3" spans="1:42" s="6" customFormat="1" ht="16.5" x14ac:dyDescent="0.3">
      <c r="A3" s="5" t="s">
        <v>35</v>
      </c>
      <c r="B3" s="5"/>
    </row>
    <row r="4" spans="1:42" ht="17.25" thickBot="1" x14ac:dyDescent="0.35">
      <c r="D4" s="10"/>
      <c r="F4" s="8"/>
    </row>
    <row r="5" spans="1:42" ht="16.5" x14ac:dyDescent="0.3">
      <c r="B5" s="74" t="s">
        <v>18</v>
      </c>
      <c r="C5" s="75">
        <f>'1. Emissions Forecast'!C10</f>
        <v>2023</v>
      </c>
      <c r="D5" s="10"/>
      <c r="F5" s="8"/>
    </row>
    <row r="6" spans="1:42" ht="17.25" thickBot="1" x14ac:dyDescent="0.35">
      <c r="B6" s="76" t="s">
        <v>29</v>
      </c>
      <c r="C6" s="77">
        <f>'1. Emissions Forecast'!C31</f>
        <v>0</v>
      </c>
      <c r="D6" s="10"/>
      <c r="F6" s="8"/>
    </row>
    <row r="7" spans="1:42" ht="16.5" x14ac:dyDescent="0.3">
      <c r="D7" s="10"/>
      <c r="F7" s="8"/>
    </row>
    <row r="8" spans="1:42" ht="17.25" thickBot="1" x14ac:dyDescent="0.35">
      <c r="B8" s="7" t="s">
        <v>36</v>
      </c>
      <c r="D8" s="10"/>
      <c r="E8" s="11"/>
      <c r="F8" s="8"/>
      <c r="AK8" s="11"/>
      <c r="AL8" s="11"/>
      <c r="AM8" s="11"/>
    </row>
    <row r="9" spans="1:42" ht="15.75" customHeight="1" thickBot="1" x14ac:dyDescent="0.35">
      <c r="B9" s="70" t="s">
        <v>37</v>
      </c>
      <c r="C9" s="71" t="s">
        <v>38</v>
      </c>
      <c r="D9" s="71">
        <v>2019</v>
      </c>
      <c r="E9" s="71">
        <v>2020</v>
      </c>
      <c r="F9" s="71">
        <v>2021</v>
      </c>
      <c r="G9" s="71">
        <v>2022</v>
      </c>
      <c r="H9" s="71">
        <v>2023</v>
      </c>
      <c r="I9" s="71">
        <v>2024</v>
      </c>
      <c r="J9" s="71">
        <v>2025</v>
      </c>
      <c r="K9" s="71">
        <v>2026</v>
      </c>
      <c r="L9" s="71">
        <v>2027</v>
      </c>
      <c r="M9" s="71">
        <v>2028</v>
      </c>
      <c r="N9" s="71">
        <v>2029</v>
      </c>
      <c r="O9" s="72">
        <v>2030</v>
      </c>
      <c r="P9" s="71">
        <v>2031</v>
      </c>
      <c r="Q9" s="71">
        <v>2032</v>
      </c>
      <c r="R9" s="71">
        <v>2033</v>
      </c>
      <c r="S9" s="71">
        <v>2034</v>
      </c>
      <c r="T9" s="71">
        <v>2035</v>
      </c>
      <c r="U9" s="71">
        <v>2036</v>
      </c>
      <c r="V9" s="71">
        <v>2037</v>
      </c>
      <c r="W9" s="71">
        <v>2038</v>
      </c>
      <c r="X9" s="71">
        <v>2039</v>
      </c>
      <c r="Y9" s="72">
        <v>2040</v>
      </c>
      <c r="Z9" s="71">
        <v>2041</v>
      </c>
      <c r="AA9" s="71">
        <v>2042</v>
      </c>
      <c r="AB9" s="71">
        <v>2043</v>
      </c>
      <c r="AC9" s="71">
        <v>2044</v>
      </c>
      <c r="AD9" s="71">
        <v>2045</v>
      </c>
      <c r="AE9" s="71">
        <v>2046</v>
      </c>
      <c r="AF9" s="71">
        <v>2047</v>
      </c>
      <c r="AG9" s="71">
        <v>2048</v>
      </c>
      <c r="AH9" s="71">
        <v>2049</v>
      </c>
      <c r="AI9" s="73">
        <v>2050</v>
      </c>
      <c r="AN9" s="12"/>
      <c r="AO9" s="12"/>
      <c r="AP9" s="12"/>
    </row>
    <row r="10" spans="1:42" ht="14.25" customHeight="1" thickBot="1" x14ac:dyDescent="0.35">
      <c r="B10" s="80" t="s">
        <v>481</v>
      </c>
      <c r="C10" s="57" t="s">
        <v>40</v>
      </c>
      <c r="D10" s="61">
        <f>'1. Emissions Forecast'!C19/1000</f>
        <v>0</v>
      </c>
      <c r="E10" s="61">
        <f>IF((E9&gt;=$C$5),'1. Emissions Forecast'!$C$23/1000,'1. Emissions Forecast'!$C$19/1000)</f>
        <v>0</v>
      </c>
      <c r="F10" s="61">
        <f>IF((F9&gt;=$C$5),'1. Emissions Forecast'!$C$23/1000,'1. Emissions Forecast'!$C$19/1000)</f>
        <v>0</v>
      </c>
      <c r="G10" s="61">
        <f>IF((G9&gt;=$C$5),'1. Emissions Forecast'!$C$23/1000,'1. Emissions Forecast'!$C$19/1000)</f>
        <v>0</v>
      </c>
      <c r="H10" s="61">
        <f>IF((H9&gt;=$C$5),'1. Emissions Forecast'!$C$23/1000,'1. Emissions Forecast'!$C$19/1000)</f>
        <v>0</v>
      </c>
      <c r="I10" s="61">
        <f>IF((I9&gt;=$C$5),'1. Emissions Forecast'!$C$23/1000,'1. Emissions Forecast'!$C$19/1000)</f>
        <v>0</v>
      </c>
      <c r="J10" s="61">
        <f>IF((J9&gt;=$C$5),'1. Emissions Forecast'!$C$23/1000,'1. Emissions Forecast'!$C$19/1000)</f>
        <v>0</v>
      </c>
      <c r="K10" s="61">
        <f>IF((K9&gt;=$C$5),'1. Emissions Forecast'!$C$23/1000,'1. Emissions Forecast'!$C$19/1000)</f>
        <v>0</v>
      </c>
      <c r="L10" s="61">
        <f>IF((L9&gt;=$C$5),'1. Emissions Forecast'!$C$23/1000,'1. Emissions Forecast'!$C$19/1000)</f>
        <v>0</v>
      </c>
      <c r="M10" s="61">
        <f>IF((M9&gt;=$C$5),'1. Emissions Forecast'!$C$23/1000,'1. Emissions Forecast'!$C$19/1000)</f>
        <v>0</v>
      </c>
      <c r="N10" s="61">
        <f>IF((N9&gt;=$C$5),'1. Emissions Forecast'!$C$23/1000,'1. Emissions Forecast'!$C$19/1000)</f>
        <v>0</v>
      </c>
      <c r="O10" s="61">
        <f>IF((O9&gt;=$C$5),'1. Emissions Forecast'!$C$23/1000,'1. Emissions Forecast'!$C$19/1000)</f>
        <v>0</v>
      </c>
      <c r="P10" s="61">
        <f>IF((P9&gt;=$C$5),'1. Emissions Forecast'!$C$23/1000,'1. Emissions Forecast'!$C$19/1000)</f>
        <v>0</v>
      </c>
      <c r="Q10" s="61">
        <f>IF((Q9&gt;=$C$5),'1. Emissions Forecast'!$C$23/1000,'1. Emissions Forecast'!$C$19/1000)</f>
        <v>0</v>
      </c>
      <c r="R10" s="61">
        <f>IF((R9&gt;=$C$5),'1. Emissions Forecast'!$C$23/1000,'1. Emissions Forecast'!$C$19/1000)</f>
        <v>0</v>
      </c>
      <c r="S10" s="61">
        <f>IF((S9&gt;=$C$5),'1. Emissions Forecast'!$C$23/1000,'1. Emissions Forecast'!$C$19/1000)</f>
        <v>0</v>
      </c>
      <c r="T10" s="61">
        <f>IF((T9&gt;=$C$5),'1. Emissions Forecast'!$C$23/1000,'1. Emissions Forecast'!$C$19/1000)</f>
        <v>0</v>
      </c>
      <c r="U10" s="61">
        <f>IF((U9&gt;=$C$5),'1. Emissions Forecast'!$C$23/1000,'1. Emissions Forecast'!$C$19/1000)</f>
        <v>0</v>
      </c>
      <c r="V10" s="61">
        <f>IF((V9&gt;=$C$5),'1. Emissions Forecast'!$C$23/1000,'1. Emissions Forecast'!$C$19/1000)</f>
        <v>0</v>
      </c>
      <c r="W10" s="61">
        <f>IF((W9&gt;=$C$5),'1. Emissions Forecast'!$C$23/1000,'1. Emissions Forecast'!$C$19/1000)</f>
        <v>0</v>
      </c>
      <c r="X10" s="61">
        <f>IF((X9&gt;=$C$5),'1. Emissions Forecast'!$C$23/1000,'1. Emissions Forecast'!$C$19/1000)</f>
        <v>0</v>
      </c>
      <c r="Y10" s="61">
        <f>IF((Y9&gt;=$C$5),'1. Emissions Forecast'!$C$23/1000,'1. Emissions Forecast'!$C$19/1000)</f>
        <v>0</v>
      </c>
      <c r="Z10" s="61">
        <f>IF((Z9&gt;=$C$5),'1. Emissions Forecast'!$C$23/1000,'1. Emissions Forecast'!$C$19/1000)</f>
        <v>0</v>
      </c>
      <c r="AA10" s="61">
        <f>IF((AA9&gt;=$C$5),'1. Emissions Forecast'!$C$23/1000,'1. Emissions Forecast'!$C$19/1000)</f>
        <v>0</v>
      </c>
      <c r="AB10" s="61">
        <f>IF((AB9&gt;=$C$5),'1. Emissions Forecast'!$C$23/1000,'1. Emissions Forecast'!$C$19/1000)</f>
        <v>0</v>
      </c>
      <c r="AC10" s="61">
        <f>IF((AC9&gt;=$C$5),'1. Emissions Forecast'!$C$23/1000,'1. Emissions Forecast'!$C$19/1000)</f>
        <v>0</v>
      </c>
      <c r="AD10" s="61">
        <f>IF((AD9&gt;=$C$5),'1. Emissions Forecast'!$C$23/1000,'1. Emissions Forecast'!$C$19/1000)</f>
        <v>0</v>
      </c>
      <c r="AE10" s="61">
        <f>IF((AE9&gt;=$C$5),'1. Emissions Forecast'!$C$23/1000,'1. Emissions Forecast'!$C$19/1000)</f>
        <v>0</v>
      </c>
      <c r="AF10" s="61">
        <f>IF((AF9&gt;=$C$5),'1. Emissions Forecast'!$C$23/1000,'1. Emissions Forecast'!$C$19/1000)</f>
        <v>0</v>
      </c>
      <c r="AG10" s="61">
        <f>IF((AG9&gt;=$C$5),'1. Emissions Forecast'!$C$23/1000,'1. Emissions Forecast'!$C$19/1000)</f>
        <v>0</v>
      </c>
      <c r="AH10" s="61">
        <f>IF((AH9&gt;=$C$5),'1. Emissions Forecast'!$C$23/1000,'1. Emissions Forecast'!$C$19/1000)</f>
        <v>0</v>
      </c>
      <c r="AI10" s="61">
        <f>IF((AI9&gt;=$C$5),'1. Emissions Forecast'!$C$23/1000,'1. Emissions Forecast'!$C$19/1000)</f>
        <v>0</v>
      </c>
    </row>
    <row r="11" spans="1:42" ht="14.25" customHeight="1" x14ac:dyDescent="0.3">
      <c r="B11" s="79" t="s">
        <v>41</v>
      </c>
      <c r="C11" s="55" t="s">
        <v>40</v>
      </c>
      <c r="D11" s="58">
        <f>'Facility Emissions'!$C$62</f>
        <v>0</v>
      </c>
      <c r="E11" s="58">
        <f>IF((E9&gt;=$C$5),'Facility Emissions'!$C$67,'Facility Emissions'!$C$62)</f>
        <v>0</v>
      </c>
      <c r="F11" s="58">
        <f>IF((F9&gt;=$C$5),'Facility Emissions'!$C$67,'Facility Emissions'!$C$62)</f>
        <v>0</v>
      </c>
      <c r="G11" s="58">
        <f>IF((G9&gt;=$C$5),'Facility Emissions'!$C$67,'Facility Emissions'!$C$62)</f>
        <v>0</v>
      </c>
      <c r="H11" s="58">
        <f>IF((H9&gt;=$C$5),'Facility Emissions'!$C$67,'Facility Emissions'!$C$62)</f>
        <v>0</v>
      </c>
      <c r="I11" s="58">
        <f>IF((I9&gt;=$C$5),'Facility Emissions'!$C$67,'Facility Emissions'!$C$62)</f>
        <v>0</v>
      </c>
      <c r="J11" s="58">
        <f>IF((J9&gt;=$C$5),'Facility Emissions'!$C$67,'Facility Emissions'!$C$62)</f>
        <v>0</v>
      </c>
      <c r="K11" s="58">
        <f>IF((K9&gt;=$C$5),'Facility Emissions'!$C$67,'Facility Emissions'!$C$62)</f>
        <v>0</v>
      </c>
      <c r="L11" s="58">
        <f>IF((L9&gt;=$C$5),'Facility Emissions'!$C$67,'Facility Emissions'!$C$62)</f>
        <v>0</v>
      </c>
      <c r="M11" s="58">
        <f>IF((M9&gt;=$C$5),'Facility Emissions'!$C$67,'Facility Emissions'!$C$62)</f>
        <v>0</v>
      </c>
      <c r="N11" s="58">
        <f>IF((N9&gt;=$C$5),'Facility Emissions'!$C$67,'Facility Emissions'!$C$62)</f>
        <v>0</v>
      </c>
      <c r="O11" s="59">
        <f>IF((O9&gt;=$C$5),'Facility Emissions'!$C$67,'Facility Emissions'!$C$62)</f>
        <v>0</v>
      </c>
      <c r="P11" s="58">
        <f>IF((P9&gt;=$C$5),'Facility Emissions'!$C$67,'Facility Emissions'!$C$62)</f>
        <v>0</v>
      </c>
      <c r="Q11" s="58">
        <f>IF((Q9&gt;=$C$5),'Facility Emissions'!$C$67,'Facility Emissions'!$C$62)</f>
        <v>0</v>
      </c>
      <c r="R11" s="58">
        <f>IF((R9&gt;=$C$5),'Facility Emissions'!$C$67,'Facility Emissions'!$C$62)</f>
        <v>0</v>
      </c>
      <c r="S11" s="58">
        <f>IF((S9&gt;=$C$5),'Facility Emissions'!$C$67,'Facility Emissions'!$C$62)</f>
        <v>0</v>
      </c>
      <c r="T11" s="58">
        <f>IF((T9&gt;=$C$5),'Facility Emissions'!$C$67,'Facility Emissions'!$C$62)</f>
        <v>0</v>
      </c>
      <c r="U11" s="58">
        <f>IF((U9&gt;=$C$5),'Facility Emissions'!$C$67,'Facility Emissions'!$C$62)</f>
        <v>0</v>
      </c>
      <c r="V11" s="58">
        <f>IF((V9&gt;=$C$5),'Facility Emissions'!$C$67,'Facility Emissions'!$C$62)</f>
        <v>0</v>
      </c>
      <c r="W11" s="58">
        <f>IF((W9&gt;=$C$5),'Facility Emissions'!$C$67,'Facility Emissions'!$C$62)</f>
        <v>0</v>
      </c>
      <c r="X11" s="58">
        <f>IF((X9&gt;=$C$5),'Facility Emissions'!$C$67,'Facility Emissions'!$C$62)</f>
        <v>0</v>
      </c>
      <c r="Y11" s="59">
        <f>IF((Y9&gt;=$C$5),'Facility Emissions'!$C$67,'Facility Emissions'!$C$62)</f>
        <v>0</v>
      </c>
      <c r="Z11" s="58">
        <f>IF((Z9&gt;=$C$5),'Facility Emissions'!$C$67,'Facility Emissions'!$C$62)</f>
        <v>0</v>
      </c>
      <c r="AA11" s="58">
        <f>IF((AA9&gt;=$C$5),'Facility Emissions'!$C$67,'Facility Emissions'!$C$62)</f>
        <v>0</v>
      </c>
      <c r="AB11" s="58">
        <f>IF((AB9&gt;=$C$5),'Facility Emissions'!$C$67,'Facility Emissions'!$C$62)</f>
        <v>0</v>
      </c>
      <c r="AC11" s="58">
        <f>IF((AC9&gt;=$C$5),'Facility Emissions'!$C$67,'Facility Emissions'!$C$62)</f>
        <v>0</v>
      </c>
      <c r="AD11" s="58">
        <f>IF((AD9&gt;=$C$5),'Facility Emissions'!$C$67,'Facility Emissions'!$C$62)</f>
        <v>0</v>
      </c>
      <c r="AE11" s="58">
        <f>IF((AE9&gt;=$C$5),'Facility Emissions'!$C$67,'Facility Emissions'!$C$62)</f>
        <v>0</v>
      </c>
      <c r="AF11" s="58">
        <f>IF((AF9&gt;=$C$5),'Facility Emissions'!$C$67,'Facility Emissions'!$C$62)</f>
        <v>0</v>
      </c>
      <c r="AG11" s="58">
        <f>IF((AG9&gt;=$C$5),'Facility Emissions'!$C$67,'Facility Emissions'!$C$62)</f>
        <v>0</v>
      </c>
      <c r="AH11" s="58">
        <f>IF((AH9&gt;=$C$5),'Facility Emissions'!$C$67,'Facility Emissions'!$C$62)</f>
        <v>0</v>
      </c>
      <c r="AI11" s="60">
        <f>IF((AI9&gt;=$C$5),'Facility Emissions'!$C$67,'Facility Emissions'!$C$62)</f>
        <v>0</v>
      </c>
    </row>
    <row r="12" spans="1:42" ht="17.25" thickBot="1" x14ac:dyDescent="0.35">
      <c r="B12" s="80" t="s">
        <v>42</v>
      </c>
      <c r="C12" s="56" t="s">
        <v>40</v>
      </c>
      <c r="D12" s="64">
        <f>'1. Emissions Forecast'!$C$19/1000</f>
        <v>0</v>
      </c>
      <c r="E12" s="64">
        <f>'1. Emissions Forecast'!$C$19/1000</f>
        <v>0</v>
      </c>
      <c r="F12" s="64">
        <f>'1. Emissions Forecast'!$C$19/1000</f>
        <v>0</v>
      </c>
      <c r="G12" s="64">
        <f>'1. Emissions Forecast'!$C$19/1000</f>
        <v>0</v>
      </c>
      <c r="H12" s="64">
        <f>'1. Emissions Forecast'!$C$19/1000</f>
        <v>0</v>
      </c>
      <c r="I12" s="64">
        <f>'1. Emissions Forecast'!$C$19/1000</f>
        <v>0</v>
      </c>
      <c r="J12" s="64">
        <f>'1. Emissions Forecast'!$C$19/1000</f>
        <v>0</v>
      </c>
      <c r="K12" s="64">
        <f>'1. Emissions Forecast'!$C$19/1000</f>
        <v>0</v>
      </c>
      <c r="L12" s="64">
        <f>'1. Emissions Forecast'!$C$19/1000</f>
        <v>0</v>
      </c>
      <c r="M12" s="64">
        <f>'1. Emissions Forecast'!$C$19/1000</f>
        <v>0</v>
      </c>
      <c r="N12" s="64">
        <f>'1. Emissions Forecast'!$C$19/1000</f>
        <v>0</v>
      </c>
      <c r="O12" s="64">
        <f>'1. Emissions Forecast'!$C$19/1000</f>
        <v>0</v>
      </c>
      <c r="P12" s="64">
        <f>'1. Emissions Forecast'!$C$19/1000</f>
        <v>0</v>
      </c>
      <c r="Q12" s="64">
        <f>'1. Emissions Forecast'!$C$19/1000</f>
        <v>0</v>
      </c>
      <c r="R12" s="64">
        <f>'1. Emissions Forecast'!$C$19/1000</f>
        <v>0</v>
      </c>
      <c r="S12" s="64">
        <f>'1. Emissions Forecast'!$C$19/1000</f>
        <v>0</v>
      </c>
      <c r="T12" s="64">
        <f>'1. Emissions Forecast'!$C$19/1000</f>
        <v>0</v>
      </c>
      <c r="U12" s="64">
        <f>'1. Emissions Forecast'!$C$19/1000</f>
        <v>0</v>
      </c>
      <c r="V12" s="64">
        <f>'1. Emissions Forecast'!$C$19/1000</f>
        <v>0</v>
      </c>
      <c r="W12" s="64">
        <f>'1. Emissions Forecast'!$C$19/1000</f>
        <v>0</v>
      </c>
      <c r="X12" s="64">
        <f>'1. Emissions Forecast'!$C$19/1000</f>
        <v>0</v>
      </c>
      <c r="Y12" s="64">
        <f>'1. Emissions Forecast'!$C$19/1000</f>
        <v>0</v>
      </c>
      <c r="Z12" s="64">
        <f>'1. Emissions Forecast'!$C$19/1000</f>
        <v>0</v>
      </c>
      <c r="AA12" s="64">
        <f>'1. Emissions Forecast'!$C$19/1000</f>
        <v>0</v>
      </c>
      <c r="AB12" s="64">
        <f>'1. Emissions Forecast'!$C$19/1000</f>
        <v>0</v>
      </c>
      <c r="AC12" s="64">
        <f>'1. Emissions Forecast'!$C$19/1000</f>
        <v>0</v>
      </c>
      <c r="AD12" s="64">
        <f>'1. Emissions Forecast'!$C$19/1000</f>
        <v>0</v>
      </c>
      <c r="AE12" s="64">
        <f>'1. Emissions Forecast'!$C$19/1000</f>
        <v>0</v>
      </c>
      <c r="AF12" s="64">
        <f>'1. Emissions Forecast'!$C$19/1000</f>
        <v>0</v>
      </c>
      <c r="AG12" s="64">
        <f>'1. Emissions Forecast'!$C$19/1000</f>
        <v>0</v>
      </c>
      <c r="AH12" s="64">
        <f>'1. Emissions Forecast'!$C$19/1000</f>
        <v>0</v>
      </c>
      <c r="AI12" s="64">
        <f>'1. Emissions Forecast'!$C$19/1000</f>
        <v>0</v>
      </c>
    </row>
    <row r="13" spans="1:42" customFormat="1" x14ac:dyDescent="0.3">
      <c r="B13" s="52"/>
      <c r="C13" s="53"/>
      <c r="D13" s="27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</row>
    <row r="14" spans="1:42" ht="14.5" thickBot="1" x14ac:dyDescent="0.35">
      <c r="B14" s="7" t="s">
        <v>43</v>
      </c>
      <c r="D14" s="10"/>
      <c r="E14" s="11"/>
      <c r="F14" s="8"/>
      <c r="AK14" s="11"/>
      <c r="AL14" s="11"/>
      <c r="AM14" s="11"/>
    </row>
    <row r="15" spans="1:42" ht="15.75" customHeight="1" thickBot="1" x14ac:dyDescent="0.35">
      <c r="B15" s="70" t="s">
        <v>37</v>
      </c>
      <c r="C15" s="71" t="s">
        <v>38</v>
      </c>
      <c r="D15" s="71">
        <v>2019</v>
      </c>
      <c r="E15" s="71">
        <v>2020</v>
      </c>
      <c r="F15" s="71">
        <v>2021</v>
      </c>
      <c r="G15" s="71">
        <v>2022</v>
      </c>
      <c r="H15" s="71">
        <v>2023</v>
      </c>
      <c r="I15" s="71">
        <v>2024</v>
      </c>
      <c r="J15" s="71">
        <v>2025</v>
      </c>
      <c r="K15" s="71">
        <v>2026</v>
      </c>
      <c r="L15" s="71">
        <v>2027</v>
      </c>
      <c r="M15" s="71">
        <v>2028</v>
      </c>
      <c r="N15" s="71">
        <v>2029</v>
      </c>
      <c r="O15" s="72">
        <v>2030</v>
      </c>
      <c r="P15" s="71">
        <v>2031</v>
      </c>
      <c r="Q15" s="71">
        <v>2032</v>
      </c>
      <c r="R15" s="71">
        <v>2033</v>
      </c>
      <c r="S15" s="71">
        <v>2034</v>
      </c>
      <c r="T15" s="71">
        <v>2035</v>
      </c>
      <c r="U15" s="71">
        <v>2036</v>
      </c>
      <c r="V15" s="71">
        <v>2037</v>
      </c>
      <c r="W15" s="71">
        <v>2038</v>
      </c>
      <c r="X15" s="71">
        <v>2039</v>
      </c>
      <c r="Y15" s="72">
        <v>2040</v>
      </c>
      <c r="Z15" s="71">
        <v>2041</v>
      </c>
      <c r="AA15" s="71">
        <v>2042</v>
      </c>
      <c r="AB15" s="71">
        <v>2043</v>
      </c>
      <c r="AC15" s="71">
        <v>2044</v>
      </c>
      <c r="AD15" s="71">
        <v>2045</v>
      </c>
      <c r="AE15" s="71">
        <v>2046</v>
      </c>
      <c r="AF15" s="71">
        <v>2047</v>
      </c>
      <c r="AG15" s="71">
        <v>2048</v>
      </c>
      <c r="AH15" s="71">
        <v>2049</v>
      </c>
      <c r="AI15" s="73">
        <v>2050</v>
      </c>
      <c r="AN15" s="12"/>
      <c r="AO15" s="12"/>
      <c r="AP15" s="12"/>
    </row>
    <row r="16" spans="1:42" ht="14.25" customHeight="1" thickBot="1" x14ac:dyDescent="0.35">
      <c r="B16" s="80" t="s">
        <v>481</v>
      </c>
      <c r="C16" s="57" t="s">
        <v>40</v>
      </c>
      <c r="D16" s="67">
        <f>D10</f>
        <v>0</v>
      </c>
      <c r="E16" s="67">
        <f>IF(E15=$C$5,E10*(1+$C$6),D16*(1+$C$6))</f>
        <v>0</v>
      </c>
      <c r="F16" s="67">
        <f>IF(F15=$C$5,F10*(1+$C$6),E16*(1+$C$6))</f>
        <v>0</v>
      </c>
      <c r="G16" s="67">
        <f>IF(G15=$C$5,G10*(1+$C$6),F16*(1+$C$6))</f>
        <v>0</v>
      </c>
      <c r="H16" s="67">
        <f t="shared" ref="H16:AI16" si="0">IF(H15=$C$5,H10*(1+$C$6),G16*(1+$C$6))</f>
        <v>0</v>
      </c>
      <c r="I16" s="67">
        <f t="shared" si="0"/>
        <v>0</v>
      </c>
      <c r="J16" s="67">
        <f>IF(J15=$C$5,J10*(1+$C$6),I16*(1+$C$6))</f>
        <v>0</v>
      </c>
      <c r="K16" s="67">
        <f t="shared" si="0"/>
        <v>0</v>
      </c>
      <c r="L16" s="67">
        <f t="shared" si="0"/>
        <v>0</v>
      </c>
      <c r="M16" s="67">
        <f t="shared" si="0"/>
        <v>0</v>
      </c>
      <c r="N16" s="67">
        <f t="shared" si="0"/>
        <v>0</v>
      </c>
      <c r="O16" s="62">
        <f t="shared" si="0"/>
        <v>0</v>
      </c>
      <c r="P16" s="67">
        <f t="shared" si="0"/>
        <v>0</v>
      </c>
      <c r="Q16" s="67">
        <f t="shared" si="0"/>
        <v>0</v>
      </c>
      <c r="R16" s="67">
        <f t="shared" si="0"/>
        <v>0</v>
      </c>
      <c r="S16" s="67">
        <f t="shared" si="0"/>
        <v>0</v>
      </c>
      <c r="T16" s="67">
        <f t="shared" si="0"/>
        <v>0</v>
      </c>
      <c r="U16" s="67">
        <f t="shared" si="0"/>
        <v>0</v>
      </c>
      <c r="V16" s="67">
        <f t="shared" si="0"/>
        <v>0</v>
      </c>
      <c r="W16" s="67">
        <f t="shared" si="0"/>
        <v>0</v>
      </c>
      <c r="X16" s="67">
        <f t="shared" si="0"/>
        <v>0</v>
      </c>
      <c r="Y16" s="62">
        <f t="shared" si="0"/>
        <v>0</v>
      </c>
      <c r="Z16" s="67">
        <f t="shared" si="0"/>
        <v>0</v>
      </c>
      <c r="AA16" s="67">
        <f t="shared" si="0"/>
        <v>0</v>
      </c>
      <c r="AB16" s="67">
        <f t="shared" si="0"/>
        <v>0</v>
      </c>
      <c r="AC16" s="67">
        <f t="shared" si="0"/>
        <v>0</v>
      </c>
      <c r="AD16" s="67">
        <f t="shared" si="0"/>
        <v>0</v>
      </c>
      <c r="AE16" s="67">
        <f t="shared" si="0"/>
        <v>0</v>
      </c>
      <c r="AF16" s="67">
        <f t="shared" si="0"/>
        <v>0</v>
      </c>
      <c r="AG16" s="67">
        <f t="shared" si="0"/>
        <v>0</v>
      </c>
      <c r="AH16" s="67">
        <f t="shared" si="0"/>
        <v>0</v>
      </c>
      <c r="AI16" s="63">
        <f t="shared" si="0"/>
        <v>0</v>
      </c>
      <c r="AK16" s="11"/>
    </row>
    <row r="17" spans="2:35" ht="14.25" customHeight="1" x14ac:dyDescent="0.3">
      <c r="B17" s="79" t="s">
        <v>41</v>
      </c>
      <c r="C17" s="55" t="s">
        <v>40</v>
      </c>
      <c r="D17" s="68">
        <f>D11</f>
        <v>0</v>
      </c>
      <c r="E17" s="67">
        <f>IF(E15=$C$5,E11*(1+$C$6),D17*(1+$C$6))</f>
        <v>0</v>
      </c>
      <c r="F17" s="67">
        <f t="shared" ref="F17:AI17" si="1">IF(F15=$C$5,F11*(1+$C$6),E17*(1+$C$6))</f>
        <v>0</v>
      </c>
      <c r="G17" s="67">
        <f t="shared" si="1"/>
        <v>0</v>
      </c>
      <c r="H17" s="67">
        <f t="shared" si="1"/>
        <v>0</v>
      </c>
      <c r="I17" s="67">
        <f t="shared" si="1"/>
        <v>0</v>
      </c>
      <c r="J17" s="67">
        <f t="shared" si="1"/>
        <v>0</v>
      </c>
      <c r="K17" s="67">
        <f t="shared" si="1"/>
        <v>0</v>
      </c>
      <c r="L17" s="67">
        <f t="shared" si="1"/>
        <v>0</v>
      </c>
      <c r="M17" s="67">
        <f t="shared" si="1"/>
        <v>0</v>
      </c>
      <c r="N17" s="67">
        <f t="shared" si="1"/>
        <v>0</v>
      </c>
      <c r="O17" s="62">
        <f t="shared" si="1"/>
        <v>0</v>
      </c>
      <c r="P17" s="67">
        <f t="shared" si="1"/>
        <v>0</v>
      </c>
      <c r="Q17" s="67">
        <f t="shared" si="1"/>
        <v>0</v>
      </c>
      <c r="R17" s="67">
        <f t="shared" si="1"/>
        <v>0</v>
      </c>
      <c r="S17" s="67">
        <f t="shared" si="1"/>
        <v>0</v>
      </c>
      <c r="T17" s="67">
        <f t="shared" si="1"/>
        <v>0</v>
      </c>
      <c r="U17" s="67">
        <f t="shared" si="1"/>
        <v>0</v>
      </c>
      <c r="V17" s="67">
        <f t="shared" si="1"/>
        <v>0</v>
      </c>
      <c r="W17" s="67">
        <f t="shared" si="1"/>
        <v>0</v>
      </c>
      <c r="X17" s="67">
        <f t="shared" si="1"/>
        <v>0</v>
      </c>
      <c r="Y17" s="62">
        <f t="shared" si="1"/>
        <v>0</v>
      </c>
      <c r="Z17" s="67">
        <f t="shared" si="1"/>
        <v>0</v>
      </c>
      <c r="AA17" s="67">
        <f t="shared" si="1"/>
        <v>0</v>
      </c>
      <c r="AB17" s="67">
        <f t="shared" si="1"/>
        <v>0</v>
      </c>
      <c r="AC17" s="67">
        <f t="shared" si="1"/>
        <v>0</v>
      </c>
      <c r="AD17" s="67">
        <f t="shared" si="1"/>
        <v>0</v>
      </c>
      <c r="AE17" s="67">
        <f t="shared" si="1"/>
        <v>0</v>
      </c>
      <c r="AF17" s="67">
        <f t="shared" si="1"/>
        <v>0</v>
      </c>
      <c r="AG17" s="67">
        <f t="shared" si="1"/>
        <v>0</v>
      </c>
      <c r="AH17" s="67">
        <f t="shared" si="1"/>
        <v>0</v>
      </c>
      <c r="AI17" s="63">
        <f t="shared" si="1"/>
        <v>0</v>
      </c>
    </row>
    <row r="18" spans="2:35" ht="15" customHeight="1" thickBot="1" x14ac:dyDescent="0.35">
      <c r="B18" s="80" t="s">
        <v>44</v>
      </c>
      <c r="C18" s="56" t="s">
        <v>40</v>
      </c>
      <c r="D18" s="69">
        <f>SUM(D16:D17)</f>
        <v>0</v>
      </c>
      <c r="E18" s="69">
        <f t="shared" ref="E18:AI18" si="2">SUM(E16:E17)</f>
        <v>0</v>
      </c>
      <c r="F18" s="69">
        <f t="shared" si="2"/>
        <v>0</v>
      </c>
      <c r="G18" s="69">
        <f t="shared" si="2"/>
        <v>0</v>
      </c>
      <c r="H18" s="69">
        <f t="shared" si="2"/>
        <v>0</v>
      </c>
      <c r="I18" s="69">
        <f t="shared" si="2"/>
        <v>0</v>
      </c>
      <c r="J18" s="69">
        <f t="shared" si="2"/>
        <v>0</v>
      </c>
      <c r="K18" s="69">
        <f t="shared" si="2"/>
        <v>0</v>
      </c>
      <c r="L18" s="69">
        <f t="shared" si="2"/>
        <v>0</v>
      </c>
      <c r="M18" s="69">
        <f t="shared" si="2"/>
        <v>0</v>
      </c>
      <c r="N18" s="69">
        <f t="shared" si="2"/>
        <v>0</v>
      </c>
      <c r="O18" s="65">
        <f t="shared" si="2"/>
        <v>0</v>
      </c>
      <c r="P18" s="69">
        <f t="shared" si="2"/>
        <v>0</v>
      </c>
      <c r="Q18" s="69">
        <f t="shared" si="2"/>
        <v>0</v>
      </c>
      <c r="R18" s="69">
        <f t="shared" si="2"/>
        <v>0</v>
      </c>
      <c r="S18" s="69">
        <f t="shared" si="2"/>
        <v>0</v>
      </c>
      <c r="T18" s="69">
        <f t="shared" si="2"/>
        <v>0</v>
      </c>
      <c r="U18" s="69">
        <f t="shared" si="2"/>
        <v>0</v>
      </c>
      <c r="V18" s="69">
        <f t="shared" si="2"/>
        <v>0</v>
      </c>
      <c r="W18" s="69">
        <f t="shared" si="2"/>
        <v>0</v>
      </c>
      <c r="X18" s="69">
        <f t="shared" si="2"/>
        <v>0</v>
      </c>
      <c r="Y18" s="65">
        <f t="shared" si="2"/>
        <v>0</v>
      </c>
      <c r="Z18" s="69">
        <f t="shared" si="2"/>
        <v>0</v>
      </c>
      <c r="AA18" s="69">
        <f t="shared" si="2"/>
        <v>0</v>
      </c>
      <c r="AB18" s="69">
        <f t="shared" si="2"/>
        <v>0</v>
      </c>
      <c r="AC18" s="69">
        <f t="shared" si="2"/>
        <v>0</v>
      </c>
      <c r="AD18" s="69">
        <f t="shared" si="2"/>
        <v>0</v>
      </c>
      <c r="AE18" s="69">
        <f t="shared" si="2"/>
        <v>0</v>
      </c>
      <c r="AF18" s="69">
        <f t="shared" si="2"/>
        <v>0</v>
      </c>
      <c r="AG18" s="69">
        <f t="shared" si="2"/>
        <v>0</v>
      </c>
      <c r="AH18" s="69">
        <f t="shared" si="2"/>
        <v>0</v>
      </c>
      <c r="AI18" s="66">
        <f t="shared" si="2"/>
        <v>0</v>
      </c>
    </row>
    <row r="19" spans="2:35" x14ac:dyDescent="0.3">
      <c r="D19" s="10"/>
      <c r="F19" s="8"/>
    </row>
    <row r="47" spans="2:2" x14ac:dyDescent="0.3">
      <c r="B47" s="491" t="s">
        <v>18</v>
      </c>
    </row>
    <row r="48" spans="2:2" x14ac:dyDescent="0.3">
      <c r="B48" s="3">
        <v>2019</v>
      </c>
    </row>
    <row r="49" spans="2:2" x14ac:dyDescent="0.3">
      <c r="B49" s="3">
        <v>2020</v>
      </c>
    </row>
    <row r="50" spans="2:2" x14ac:dyDescent="0.3">
      <c r="B50" s="3">
        <v>2021</v>
      </c>
    </row>
    <row r="51" spans="2:2" x14ac:dyDescent="0.3">
      <c r="B51" s="3">
        <v>2022</v>
      </c>
    </row>
    <row r="52" spans="2:2" x14ac:dyDescent="0.3">
      <c r="B52" s="3">
        <v>2023</v>
      </c>
    </row>
    <row r="53" spans="2:2" x14ac:dyDescent="0.3">
      <c r="B53" s="3">
        <v>2024</v>
      </c>
    </row>
  </sheetData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29A7-8959-4FD9-B5F5-B04123172C9F}">
  <sheetPr>
    <tabColor theme="7"/>
  </sheetPr>
  <dimension ref="A1:Z104"/>
  <sheetViews>
    <sheetView showGridLines="0" zoomScale="80" zoomScaleNormal="80" workbookViewId="0">
      <pane ySplit="1" topLeftCell="A2" activePane="bottomLeft" state="frozen"/>
      <selection pane="bottomLeft" activeCell="E21" sqref="E21"/>
    </sheetView>
  </sheetViews>
  <sheetFormatPr defaultColWidth="10.296875" defaultRowHeight="14" x14ac:dyDescent="0.3"/>
  <cols>
    <col min="1" max="1" width="5.8984375" style="3" customWidth="1"/>
    <col min="2" max="2" width="29.296875" style="3" customWidth="1"/>
    <col min="3" max="3" width="27.8984375" style="3" customWidth="1"/>
    <col min="4" max="4" width="10.296875" style="3" customWidth="1"/>
    <col min="5" max="5" width="17.09765625" style="3" customWidth="1"/>
    <col min="6" max="6" width="7.09765625" style="3" customWidth="1"/>
    <col min="7" max="7" width="23.8984375" style="3" bestFit="1" customWidth="1"/>
    <col min="8" max="8" width="27.8984375" style="3" bestFit="1" customWidth="1"/>
    <col min="9" max="9" width="10.296875" style="3" customWidth="1"/>
    <col min="10" max="10" width="17.09765625" style="3" bestFit="1" customWidth="1"/>
    <col min="11" max="11" width="8" style="3" customWidth="1"/>
    <col min="12" max="12" width="23.8984375" style="3" bestFit="1" customWidth="1"/>
    <col min="13" max="13" width="27.8984375" style="3" bestFit="1" customWidth="1"/>
    <col min="14" max="14" width="10.296875" style="3" bestFit="1" customWidth="1"/>
    <col min="15" max="15" width="17.09765625" style="3" bestFit="1" customWidth="1"/>
    <col min="16" max="16" width="8" style="3" customWidth="1"/>
    <col min="17" max="17" width="23.8984375" style="3" bestFit="1" customWidth="1"/>
    <col min="18" max="18" width="27.8984375" style="3" bestFit="1" customWidth="1"/>
    <col min="19" max="19" width="10.296875" style="3" bestFit="1" customWidth="1"/>
    <col min="20" max="20" width="17.09765625" style="3" bestFit="1" customWidth="1"/>
    <col min="21" max="21" width="7.69921875" style="3" customWidth="1"/>
    <col min="22" max="22" width="24.8984375" style="3" bestFit="1" customWidth="1"/>
    <col min="23" max="23" width="27.8984375" style="3" bestFit="1" customWidth="1"/>
    <col min="24" max="24" width="10.296875" style="3" bestFit="1" customWidth="1"/>
    <col min="25" max="25" width="17.09765625" style="3" bestFit="1" customWidth="1"/>
    <col min="26" max="16384" width="10.296875" style="3"/>
  </cols>
  <sheetData>
    <row r="1" spans="1:26" s="2" customFormat="1" ht="68.25" customHeight="1" x14ac:dyDescent="0.3">
      <c r="A1" s="1"/>
      <c r="C1" s="392" t="s">
        <v>45</v>
      </c>
      <c r="D1" s="41"/>
    </row>
    <row r="2" spans="1:26" ht="16.5" x14ac:dyDescent="0.3">
      <c r="A2" s="4"/>
    </row>
    <row r="3" spans="1:26" s="462" customFormat="1" ht="15.5" x14ac:dyDescent="0.35">
      <c r="A3" s="460" t="s">
        <v>46</v>
      </c>
      <c r="B3" s="461"/>
    </row>
    <row r="4" spans="1:26" ht="14.5" thickBot="1" x14ac:dyDescent="0.35">
      <c r="A4" s="4"/>
    </row>
    <row r="5" spans="1:26" x14ac:dyDescent="0.3">
      <c r="B5" s="42" t="s">
        <v>9</v>
      </c>
      <c r="C5" s="484">
        <f>Instructions!B22</f>
        <v>0</v>
      </c>
    </row>
    <row r="6" spans="1:26" x14ac:dyDescent="0.3">
      <c r="B6" s="125" t="s">
        <v>10</v>
      </c>
      <c r="C6" s="485">
        <f>Instructions!C22</f>
        <v>0</v>
      </c>
    </row>
    <row r="7" spans="1:26" x14ac:dyDescent="0.3">
      <c r="B7" s="43" t="s">
        <v>17</v>
      </c>
      <c r="C7" s="486">
        <v>2019</v>
      </c>
    </row>
    <row r="8" spans="1:26" ht="14.5" thickBot="1" x14ac:dyDescent="0.35">
      <c r="B8" s="44" t="s">
        <v>18</v>
      </c>
      <c r="C8" s="487">
        <f>'1. Emissions Forecast'!C10</f>
        <v>2023</v>
      </c>
    </row>
    <row r="10" spans="1:26" s="6" customFormat="1" ht="15.5" x14ac:dyDescent="0.35">
      <c r="A10" s="358" t="s">
        <v>47</v>
      </c>
    </row>
    <row r="11" spans="1:26" s="50" customFormat="1" x14ac:dyDescent="0.3">
      <c r="A11" s="49"/>
    </row>
    <row r="12" spans="1:26" s="50" customFormat="1" x14ac:dyDescent="0.3">
      <c r="A12" s="49"/>
      <c r="B12" s="373" t="s">
        <v>48</v>
      </c>
      <c r="C12" s="379"/>
      <c r="D12" s="379"/>
      <c r="E12" s="379"/>
      <c r="F12" s="379"/>
      <c r="G12" s="379"/>
      <c r="H12" s="379"/>
      <c r="I12" s="379"/>
    </row>
    <row r="13" spans="1:26" s="50" customFormat="1" x14ac:dyDescent="0.3">
      <c r="A13" s="49"/>
      <c r="B13" s="373" t="s">
        <v>49</v>
      </c>
      <c r="C13" s="379"/>
      <c r="D13" s="379"/>
      <c r="E13" s="379"/>
      <c r="F13" s="379"/>
      <c r="G13" s="379"/>
      <c r="H13" s="379"/>
      <c r="I13" s="379"/>
    </row>
    <row r="14" spans="1:26" x14ac:dyDescent="0.3">
      <c r="B14" s="373" t="s">
        <v>50</v>
      </c>
      <c r="C14" s="379"/>
      <c r="D14" s="380"/>
      <c r="E14" s="380"/>
      <c r="F14" s="380"/>
      <c r="G14" s="380"/>
      <c r="H14" s="379"/>
      <c r="I14" s="379"/>
      <c r="J14" s="50"/>
      <c r="K14" s="50"/>
      <c r="L14" s="50"/>
      <c r="M14" s="18"/>
      <c r="N14" s="18"/>
    </row>
    <row r="15" spans="1:26" ht="14.5" thickBot="1" x14ac:dyDescent="0.35">
      <c r="F15" s="120"/>
    </row>
    <row r="16" spans="1:26" ht="14.5" thickBot="1" x14ac:dyDescent="0.35">
      <c r="B16" s="297" t="s">
        <v>51</v>
      </c>
      <c r="C16" s="515" t="s">
        <v>52</v>
      </c>
      <c r="D16" s="298"/>
      <c r="E16" s="299"/>
      <c r="F16" s="7"/>
      <c r="G16" s="297" t="s">
        <v>53</v>
      </c>
      <c r="H16" s="515" t="s">
        <v>54</v>
      </c>
      <c r="I16" s="298"/>
      <c r="J16" s="299"/>
      <c r="K16" s="7"/>
      <c r="L16" s="297" t="s">
        <v>55</v>
      </c>
      <c r="M16" s="515" t="s">
        <v>56</v>
      </c>
      <c r="N16" s="298"/>
      <c r="O16" s="299"/>
      <c r="P16" s="7"/>
      <c r="Q16" s="297" t="s">
        <v>57</v>
      </c>
      <c r="R16" s="515" t="s">
        <v>58</v>
      </c>
      <c r="S16" s="298"/>
      <c r="T16" s="299"/>
      <c r="U16" s="7"/>
      <c r="V16" s="297" t="s">
        <v>59</v>
      </c>
      <c r="W16" s="515" t="s">
        <v>60</v>
      </c>
      <c r="X16" s="298"/>
      <c r="Y16" s="299"/>
      <c r="Z16" s="7"/>
    </row>
    <row r="17" spans="2:25" s="28" customFormat="1" x14ac:dyDescent="0.3">
      <c r="B17" s="119" t="s">
        <v>61</v>
      </c>
      <c r="C17" s="26" t="s">
        <v>62</v>
      </c>
      <c r="D17" s="26" t="s">
        <v>63</v>
      </c>
      <c r="E17" s="26" t="s">
        <v>64</v>
      </c>
      <c r="G17" s="119" t="s">
        <v>61</v>
      </c>
      <c r="H17" s="26" t="s">
        <v>62</v>
      </c>
      <c r="I17" s="26" t="s">
        <v>63</v>
      </c>
      <c r="J17" s="26" t="s">
        <v>64</v>
      </c>
      <c r="L17" s="119" t="s">
        <v>61</v>
      </c>
      <c r="M17" s="26" t="s">
        <v>62</v>
      </c>
      <c r="N17" s="26" t="s">
        <v>63</v>
      </c>
      <c r="O17" s="26" t="s">
        <v>64</v>
      </c>
      <c r="Q17" s="119" t="s">
        <v>61</v>
      </c>
      <c r="R17" s="26" t="s">
        <v>62</v>
      </c>
      <c r="S17" s="26" t="s">
        <v>63</v>
      </c>
      <c r="T17" s="26" t="s">
        <v>64</v>
      </c>
      <c r="V17" s="119" t="s">
        <v>61</v>
      </c>
      <c r="W17" s="26" t="s">
        <v>62</v>
      </c>
      <c r="X17" s="26" t="s">
        <v>63</v>
      </c>
      <c r="Y17" s="26" t="s">
        <v>64</v>
      </c>
    </row>
    <row r="18" spans="2:25" x14ac:dyDescent="0.3">
      <c r="B18" s="375" t="str">
        <f>C16</f>
        <v>Site #1</v>
      </c>
      <c r="C18" s="376" t="s">
        <v>65</v>
      </c>
      <c r="D18" s="516" t="s">
        <v>66</v>
      </c>
      <c r="E18" s="517">
        <v>0</v>
      </c>
      <c r="G18" s="375" t="str">
        <f>H16</f>
        <v>Site #2</v>
      </c>
      <c r="H18" s="376" t="s">
        <v>65</v>
      </c>
      <c r="I18" s="516" t="s">
        <v>66</v>
      </c>
      <c r="J18" s="517">
        <v>0</v>
      </c>
      <c r="L18" t="str">
        <f>M16</f>
        <v>Site #3</v>
      </c>
      <c r="M18" s="27" t="s">
        <v>65</v>
      </c>
      <c r="N18" s="516" t="s">
        <v>66</v>
      </c>
      <c r="O18" s="517">
        <v>0</v>
      </c>
      <c r="Q18" t="str">
        <f>R16</f>
        <v>Site #4</v>
      </c>
      <c r="R18" s="27" t="s">
        <v>65</v>
      </c>
      <c r="S18" s="516" t="s">
        <v>66</v>
      </c>
      <c r="T18" s="517">
        <v>0</v>
      </c>
      <c r="V18" t="str">
        <f>W16</f>
        <v>Site #5</v>
      </c>
      <c r="W18" s="27" t="s">
        <v>65</v>
      </c>
      <c r="X18" s="516" t="s">
        <v>66</v>
      </c>
      <c r="Y18" s="517">
        <v>0</v>
      </c>
    </row>
    <row r="19" spans="2:25" x14ac:dyDescent="0.3">
      <c r="B19" s="375" t="str">
        <f>B18</f>
        <v>Site #1</v>
      </c>
      <c r="C19" s="376" t="s">
        <v>67</v>
      </c>
      <c r="D19" s="516" t="s">
        <v>68</v>
      </c>
      <c r="E19" s="517">
        <v>0</v>
      </c>
      <c r="G19" s="375" t="str">
        <f>G18</f>
        <v>Site #2</v>
      </c>
      <c r="H19" s="376" t="s">
        <v>67</v>
      </c>
      <c r="I19" s="516" t="s">
        <v>68</v>
      </c>
      <c r="J19" s="517">
        <v>0</v>
      </c>
      <c r="L19" t="str">
        <f>L18</f>
        <v>Site #3</v>
      </c>
      <c r="M19" s="27" t="s">
        <v>67</v>
      </c>
      <c r="N19" s="516" t="s">
        <v>68</v>
      </c>
      <c r="O19" s="517">
        <v>0</v>
      </c>
      <c r="Q19" t="str">
        <f>Q18</f>
        <v>Site #4</v>
      </c>
      <c r="R19" s="27" t="s">
        <v>67</v>
      </c>
      <c r="S19" s="516" t="s">
        <v>68</v>
      </c>
      <c r="T19" s="517">
        <v>0</v>
      </c>
      <c r="V19" t="str">
        <f>V18</f>
        <v>Site #5</v>
      </c>
      <c r="W19" s="27" t="s">
        <v>67</v>
      </c>
      <c r="X19" s="516" t="s">
        <v>68</v>
      </c>
      <c r="Y19" s="517">
        <v>0</v>
      </c>
    </row>
    <row r="20" spans="2:25" x14ac:dyDescent="0.3">
      <c r="B20" s="375" t="str">
        <f>B18</f>
        <v>Site #1</v>
      </c>
      <c r="C20" s="376" t="s">
        <v>69</v>
      </c>
      <c r="D20" s="516" t="s">
        <v>70</v>
      </c>
      <c r="E20" s="517">
        <v>0</v>
      </c>
      <c r="G20" s="375" t="str">
        <f>G18</f>
        <v>Site #2</v>
      </c>
      <c r="H20" s="376" t="s">
        <v>69</v>
      </c>
      <c r="I20" s="516" t="s">
        <v>70</v>
      </c>
      <c r="J20" s="517">
        <v>0</v>
      </c>
      <c r="L20" t="str">
        <f>L18</f>
        <v>Site #3</v>
      </c>
      <c r="M20" s="27" t="s">
        <v>69</v>
      </c>
      <c r="N20" s="516" t="s">
        <v>70</v>
      </c>
      <c r="O20" s="517">
        <v>0</v>
      </c>
      <c r="Q20" t="str">
        <f>Q18</f>
        <v>Site #4</v>
      </c>
      <c r="R20" s="27" t="s">
        <v>69</v>
      </c>
      <c r="S20" s="516" t="s">
        <v>70</v>
      </c>
      <c r="T20" s="517">
        <v>0</v>
      </c>
      <c r="V20" t="str">
        <f>V18</f>
        <v>Site #5</v>
      </c>
      <c r="W20" s="27" t="s">
        <v>69</v>
      </c>
      <c r="X20" s="516" t="s">
        <v>70</v>
      </c>
      <c r="Y20" s="517">
        <v>0</v>
      </c>
    </row>
    <row r="21" spans="2:25" x14ac:dyDescent="0.3">
      <c r="B21" s="375" t="str">
        <f>B18</f>
        <v>Site #1</v>
      </c>
      <c r="C21" s="376" t="s">
        <v>71</v>
      </c>
      <c r="D21" s="516" t="s">
        <v>72</v>
      </c>
      <c r="E21" s="517">
        <v>0</v>
      </c>
      <c r="G21" s="375" t="str">
        <f>G18</f>
        <v>Site #2</v>
      </c>
      <c r="H21" s="376" t="s">
        <v>71</v>
      </c>
      <c r="I21" s="516" t="s">
        <v>72</v>
      </c>
      <c r="J21" s="517">
        <v>0</v>
      </c>
      <c r="L21" t="str">
        <f>L18</f>
        <v>Site #3</v>
      </c>
      <c r="M21" s="27" t="s">
        <v>71</v>
      </c>
      <c r="N21" s="516" t="s">
        <v>72</v>
      </c>
      <c r="O21" s="517">
        <v>0</v>
      </c>
      <c r="Q21" t="str">
        <f>Q18</f>
        <v>Site #4</v>
      </c>
      <c r="R21" s="27" t="s">
        <v>71</v>
      </c>
      <c r="S21" s="516" t="s">
        <v>72</v>
      </c>
      <c r="T21" s="517">
        <v>0</v>
      </c>
      <c r="V21" t="str">
        <f>V18</f>
        <v>Site #5</v>
      </c>
      <c r="W21" s="27" t="s">
        <v>71</v>
      </c>
      <c r="X21" s="516" t="s">
        <v>72</v>
      </c>
      <c r="Y21" s="517">
        <v>0</v>
      </c>
    </row>
    <row r="22" spans="2:25" x14ac:dyDescent="0.3">
      <c r="B22" s="375" t="str">
        <f>B18</f>
        <v>Site #1</v>
      </c>
      <c r="C22" s="376" t="s">
        <v>73</v>
      </c>
      <c r="D22" s="516" t="s">
        <v>72</v>
      </c>
      <c r="E22" s="517">
        <v>0</v>
      </c>
      <c r="G22" s="375" t="str">
        <f>G18</f>
        <v>Site #2</v>
      </c>
      <c r="H22" s="376" t="s">
        <v>73</v>
      </c>
      <c r="I22" s="516" t="s">
        <v>72</v>
      </c>
      <c r="J22" s="517">
        <v>0</v>
      </c>
      <c r="L22" t="str">
        <f>L18</f>
        <v>Site #3</v>
      </c>
      <c r="M22" s="27" t="s">
        <v>73</v>
      </c>
      <c r="N22" s="516" t="s">
        <v>72</v>
      </c>
      <c r="O22" s="517">
        <v>0</v>
      </c>
      <c r="Q22" t="str">
        <f>Q18</f>
        <v>Site #4</v>
      </c>
      <c r="R22" s="27" t="s">
        <v>73</v>
      </c>
      <c r="S22" s="516" t="s">
        <v>72</v>
      </c>
      <c r="T22" s="517">
        <v>0</v>
      </c>
      <c r="V22" t="str">
        <f>V18</f>
        <v>Site #5</v>
      </c>
      <c r="W22" s="27" t="s">
        <v>73</v>
      </c>
      <c r="X22" s="516" t="s">
        <v>72</v>
      </c>
      <c r="Y22" s="517">
        <v>0</v>
      </c>
    </row>
    <row r="23" spans="2:25" x14ac:dyDescent="0.3">
      <c r="B23" s="375" t="str">
        <f>B18</f>
        <v>Site #1</v>
      </c>
      <c r="C23" s="376" t="s">
        <v>74</v>
      </c>
      <c r="D23" s="516" t="s">
        <v>72</v>
      </c>
      <c r="E23" s="517">
        <v>0</v>
      </c>
      <c r="G23" s="375" t="str">
        <f>G18</f>
        <v>Site #2</v>
      </c>
      <c r="H23" s="376" t="s">
        <v>74</v>
      </c>
      <c r="I23" s="516" t="s">
        <v>72</v>
      </c>
      <c r="J23" s="517">
        <v>0</v>
      </c>
      <c r="L23" t="str">
        <f>L18</f>
        <v>Site #3</v>
      </c>
      <c r="M23" s="27" t="s">
        <v>74</v>
      </c>
      <c r="N23" s="516" t="s">
        <v>72</v>
      </c>
      <c r="O23" s="517">
        <v>0</v>
      </c>
      <c r="Q23" t="str">
        <f>Q18</f>
        <v>Site #4</v>
      </c>
      <c r="R23" s="27" t="s">
        <v>74</v>
      </c>
      <c r="S23" s="516" t="s">
        <v>72</v>
      </c>
      <c r="T23" s="517">
        <v>0</v>
      </c>
      <c r="V23" t="str">
        <f>V18</f>
        <v>Site #5</v>
      </c>
      <c r="W23" s="27" t="s">
        <v>74</v>
      </c>
      <c r="X23" s="516" t="s">
        <v>72</v>
      </c>
      <c r="Y23" s="517">
        <v>0</v>
      </c>
    </row>
    <row r="24" spans="2:25" x14ac:dyDescent="0.3">
      <c r="B24" s="375" t="str">
        <f>B18</f>
        <v>Site #1</v>
      </c>
      <c r="C24" s="376" t="s">
        <v>75</v>
      </c>
      <c r="D24" s="516" t="s">
        <v>76</v>
      </c>
      <c r="E24" s="517">
        <v>0</v>
      </c>
      <c r="G24" s="375" t="str">
        <f>G18</f>
        <v>Site #2</v>
      </c>
      <c r="H24" s="376" t="s">
        <v>75</v>
      </c>
      <c r="I24" s="516" t="s">
        <v>76</v>
      </c>
      <c r="J24" s="517">
        <v>0</v>
      </c>
      <c r="L24" t="str">
        <f>L18</f>
        <v>Site #3</v>
      </c>
      <c r="M24" s="27" t="s">
        <v>75</v>
      </c>
      <c r="N24" s="516" t="s">
        <v>76</v>
      </c>
      <c r="O24" s="517">
        <v>0</v>
      </c>
      <c r="Q24" t="str">
        <f>Q18</f>
        <v>Site #4</v>
      </c>
      <c r="R24" s="27" t="s">
        <v>75</v>
      </c>
      <c r="S24" s="516" t="s">
        <v>76</v>
      </c>
      <c r="T24" s="517">
        <v>0</v>
      </c>
      <c r="V24" t="str">
        <f>V18</f>
        <v>Site #5</v>
      </c>
      <c r="W24" s="27" t="s">
        <v>75</v>
      </c>
      <c r="X24" s="516" t="s">
        <v>76</v>
      </c>
      <c r="Y24" s="517">
        <v>0</v>
      </c>
    </row>
    <row r="25" spans="2:25" x14ac:dyDescent="0.3">
      <c r="B25" s="375" t="s">
        <v>52</v>
      </c>
      <c r="C25" s="376" t="s">
        <v>77</v>
      </c>
      <c r="D25" s="516" t="s">
        <v>72</v>
      </c>
      <c r="E25" s="517">
        <v>0</v>
      </c>
      <c r="F25" s="121"/>
      <c r="G25" s="375" t="str">
        <f t="shared" ref="G25:G37" si="0">G19</f>
        <v>Site #2</v>
      </c>
      <c r="H25" s="376" t="s">
        <v>77</v>
      </c>
      <c r="I25" s="516" t="s">
        <v>72</v>
      </c>
      <c r="J25" s="517">
        <v>0</v>
      </c>
      <c r="L25" t="str">
        <f t="shared" ref="L25:L37" si="1">L19</f>
        <v>Site #3</v>
      </c>
      <c r="M25" s="27" t="s">
        <v>77</v>
      </c>
      <c r="N25" s="516" t="s">
        <v>72</v>
      </c>
      <c r="O25" s="517">
        <v>0</v>
      </c>
      <c r="Q25" t="str">
        <f t="shared" ref="Q25:Q37" si="2">Q19</f>
        <v>Site #4</v>
      </c>
      <c r="R25" s="27" t="s">
        <v>77</v>
      </c>
      <c r="S25" s="516" t="s">
        <v>72</v>
      </c>
      <c r="T25" s="517">
        <v>0</v>
      </c>
      <c r="V25" t="str">
        <f t="shared" ref="V25:V37" si="3">V19</f>
        <v>Site #5</v>
      </c>
      <c r="W25" s="27" t="s">
        <v>77</v>
      </c>
      <c r="X25" s="516" t="s">
        <v>72</v>
      </c>
      <c r="Y25" s="517">
        <v>0</v>
      </c>
    </row>
    <row r="26" spans="2:25" x14ac:dyDescent="0.3">
      <c r="B26" s="375" t="s">
        <v>52</v>
      </c>
      <c r="C26" s="376" t="s">
        <v>78</v>
      </c>
      <c r="D26" s="516" t="s">
        <v>72</v>
      </c>
      <c r="E26" s="517">
        <v>0</v>
      </c>
      <c r="G26" s="375" t="str">
        <f t="shared" si="0"/>
        <v>Site #2</v>
      </c>
      <c r="H26" s="376" t="s">
        <v>78</v>
      </c>
      <c r="I26" s="516" t="s">
        <v>72</v>
      </c>
      <c r="J26" s="517">
        <v>0</v>
      </c>
      <c r="L26" t="str">
        <f t="shared" si="1"/>
        <v>Site #3</v>
      </c>
      <c r="M26" s="27" t="s">
        <v>78</v>
      </c>
      <c r="N26" s="516" t="s">
        <v>72</v>
      </c>
      <c r="O26" s="517">
        <v>0</v>
      </c>
      <c r="Q26" t="str">
        <f t="shared" si="2"/>
        <v>Site #4</v>
      </c>
      <c r="R26" s="27" t="s">
        <v>78</v>
      </c>
      <c r="S26" s="516" t="s">
        <v>72</v>
      </c>
      <c r="T26" s="517">
        <v>0</v>
      </c>
      <c r="V26" t="str">
        <f t="shared" si="3"/>
        <v>Site #5</v>
      </c>
      <c r="W26" s="27" t="s">
        <v>78</v>
      </c>
      <c r="X26" s="516" t="s">
        <v>72</v>
      </c>
      <c r="Y26" s="517">
        <v>0</v>
      </c>
    </row>
    <row r="27" spans="2:25" s="28" customFormat="1" x14ac:dyDescent="0.3">
      <c r="B27" s="377" t="s">
        <v>52</v>
      </c>
      <c r="C27" s="376" t="s">
        <v>79</v>
      </c>
      <c r="D27" s="516" t="s">
        <v>80</v>
      </c>
      <c r="E27" s="517">
        <v>0</v>
      </c>
      <c r="G27" s="375" t="str">
        <f t="shared" si="0"/>
        <v>Site #2</v>
      </c>
      <c r="H27" s="376" t="s">
        <v>79</v>
      </c>
      <c r="I27" s="516" t="s">
        <v>80</v>
      </c>
      <c r="J27" s="517">
        <v>0</v>
      </c>
      <c r="L27" t="str">
        <f t="shared" si="1"/>
        <v>Site #3</v>
      </c>
      <c r="M27" s="27" t="s">
        <v>79</v>
      </c>
      <c r="N27" s="516" t="s">
        <v>80</v>
      </c>
      <c r="O27" s="517">
        <v>0</v>
      </c>
      <c r="Q27" t="str">
        <f t="shared" si="2"/>
        <v>Site #4</v>
      </c>
      <c r="R27" s="27" t="s">
        <v>79</v>
      </c>
      <c r="S27" s="516" t="s">
        <v>80</v>
      </c>
      <c r="T27" s="517">
        <v>0</v>
      </c>
      <c r="V27" t="str">
        <f t="shared" si="3"/>
        <v>Site #5</v>
      </c>
      <c r="W27" s="27" t="s">
        <v>79</v>
      </c>
      <c r="X27" s="516" t="s">
        <v>80</v>
      </c>
      <c r="Y27" s="517">
        <v>0</v>
      </c>
    </row>
    <row r="28" spans="2:25" x14ac:dyDescent="0.3">
      <c r="B28" s="375" t="s">
        <v>52</v>
      </c>
      <c r="C28" s="376" t="s">
        <v>81</v>
      </c>
      <c r="D28" s="516" t="s">
        <v>80</v>
      </c>
      <c r="E28" s="517">
        <v>0</v>
      </c>
      <c r="G28" s="375" t="str">
        <f t="shared" si="0"/>
        <v>Site #2</v>
      </c>
      <c r="H28" s="376" t="s">
        <v>81</v>
      </c>
      <c r="I28" s="516" t="s">
        <v>80</v>
      </c>
      <c r="J28" s="517">
        <v>0</v>
      </c>
      <c r="L28" t="str">
        <f t="shared" si="1"/>
        <v>Site #3</v>
      </c>
      <c r="M28" s="27" t="s">
        <v>81</v>
      </c>
      <c r="N28" s="516" t="s">
        <v>80</v>
      </c>
      <c r="O28" s="517">
        <v>0</v>
      </c>
      <c r="Q28" t="str">
        <f t="shared" si="2"/>
        <v>Site #4</v>
      </c>
      <c r="R28" s="27" t="s">
        <v>81</v>
      </c>
      <c r="S28" s="516" t="s">
        <v>80</v>
      </c>
      <c r="T28" s="517">
        <v>0</v>
      </c>
      <c r="V28" t="str">
        <f t="shared" si="3"/>
        <v>Site #5</v>
      </c>
      <c r="W28" s="27" t="s">
        <v>81</v>
      </c>
      <c r="X28" s="516" t="s">
        <v>80</v>
      </c>
      <c r="Y28" s="517">
        <v>0</v>
      </c>
    </row>
    <row r="29" spans="2:25" x14ac:dyDescent="0.3">
      <c r="B29" s="375" t="s">
        <v>52</v>
      </c>
      <c r="C29" s="376" t="s">
        <v>82</v>
      </c>
      <c r="D29" s="516" t="s">
        <v>72</v>
      </c>
      <c r="E29" s="517">
        <v>0</v>
      </c>
      <c r="G29" s="375" t="str">
        <f t="shared" si="0"/>
        <v>Site #2</v>
      </c>
      <c r="H29" s="376" t="s">
        <v>82</v>
      </c>
      <c r="I29" s="516" t="s">
        <v>72</v>
      </c>
      <c r="J29" s="517">
        <v>0</v>
      </c>
      <c r="L29" t="str">
        <f t="shared" si="1"/>
        <v>Site #3</v>
      </c>
      <c r="M29" s="27" t="s">
        <v>82</v>
      </c>
      <c r="N29" s="516" t="s">
        <v>72</v>
      </c>
      <c r="O29" s="517">
        <v>0</v>
      </c>
      <c r="Q29" t="str">
        <f t="shared" si="2"/>
        <v>Site #4</v>
      </c>
      <c r="R29" s="27" t="s">
        <v>82</v>
      </c>
      <c r="S29" s="516" t="s">
        <v>72</v>
      </c>
      <c r="T29" s="517">
        <v>0</v>
      </c>
      <c r="V29" t="str">
        <f t="shared" si="3"/>
        <v>Site #5</v>
      </c>
      <c r="W29" s="27" t="s">
        <v>82</v>
      </c>
      <c r="X29" s="516" t="s">
        <v>72</v>
      </c>
      <c r="Y29" s="517">
        <v>0</v>
      </c>
    </row>
    <row r="30" spans="2:25" x14ac:dyDescent="0.3">
      <c r="B30" s="375" t="s">
        <v>52</v>
      </c>
      <c r="C30" s="376" t="s">
        <v>83</v>
      </c>
      <c r="D30" s="516" t="s">
        <v>70</v>
      </c>
      <c r="E30" s="517">
        <v>0</v>
      </c>
      <c r="G30" s="375" t="str">
        <f t="shared" si="0"/>
        <v>Site #2</v>
      </c>
      <c r="H30" s="376" t="s">
        <v>83</v>
      </c>
      <c r="I30" s="516" t="s">
        <v>70</v>
      </c>
      <c r="J30" s="517">
        <v>0</v>
      </c>
      <c r="L30" t="str">
        <f t="shared" si="1"/>
        <v>Site #3</v>
      </c>
      <c r="M30" s="27" t="s">
        <v>83</v>
      </c>
      <c r="N30" s="516" t="s">
        <v>70</v>
      </c>
      <c r="O30" s="517">
        <v>0</v>
      </c>
      <c r="Q30" t="str">
        <f t="shared" si="2"/>
        <v>Site #4</v>
      </c>
      <c r="R30" s="27" t="s">
        <v>83</v>
      </c>
      <c r="S30" s="516" t="s">
        <v>70</v>
      </c>
      <c r="T30" s="517">
        <v>0</v>
      </c>
      <c r="V30" t="str">
        <f t="shared" si="3"/>
        <v>Site #5</v>
      </c>
      <c r="W30" s="27" t="s">
        <v>83</v>
      </c>
      <c r="X30" s="516" t="s">
        <v>70</v>
      </c>
      <c r="Y30" s="517">
        <v>0</v>
      </c>
    </row>
    <row r="31" spans="2:25" x14ac:dyDescent="0.3">
      <c r="B31" s="375" t="s">
        <v>52</v>
      </c>
      <c r="C31" s="376" t="s">
        <v>84</v>
      </c>
      <c r="D31" s="516" t="s">
        <v>70</v>
      </c>
      <c r="E31" s="517">
        <v>0</v>
      </c>
      <c r="G31" s="375" t="str">
        <f t="shared" si="0"/>
        <v>Site #2</v>
      </c>
      <c r="H31" s="376" t="s">
        <v>84</v>
      </c>
      <c r="I31" s="516" t="s">
        <v>70</v>
      </c>
      <c r="J31" s="517">
        <v>0</v>
      </c>
      <c r="L31" t="str">
        <f t="shared" si="1"/>
        <v>Site #3</v>
      </c>
      <c r="M31" s="27" t="s">
        <v>84</v>
      </c>
      <c r="N31" s="516" t="s">
        <v>70</v>
      </c>
      <c r="O31" s="517">
        <v>0</v>
      </c>
      <c r="Q31" t="str">
        <f t="shared" si="2"/>
        <v>Site #4</v>
      </c>
      <c r="R31" s="27" t="s">
        <v>84</v>
      </c>
      <c r="S31" s="516" t="s">
        <v>70</v>
      </c>
      <c r="T31" s="517">
        <v>0</v>
      </c>
      <c r="V31" t="str">
        <f t="shared" si="3"/>
        <v>Site #5</v>
      </c>
      <c r="W31" s="27" t="s">
        <v>84</v>
      </c>
      <c r="X31" s="516" t="s">
        <v>70</v>
      </c>
      <c r="Y31" s="517">
        <v>0</v>
      </c>
    </row>
    <row r="32" spans="2:25" x14ac:dyDescent="0.3">
      <c r="B32" s="375" t="s">
        <v>52</v>
      </c>
      <c r="C32" s="376" t="s">
        <v>85</v>
      </c>
      <c r="D32" s="516" t="s">
        <v>70</v>
      </c>
      <c r="E32" s="517">
        <v>0</v>
      </c>
      <c r="G32" s="375" t="str">
        <f t="shared" si="0"/>
        <v>Site #2</v>
      </c>
      <c r="H32" s="376" t="s">
        <v>85</v>
      </c>
      <c r="I32" s="516" t="s">
        <v>70</v>
      </c>
      <c r="J32" s="517">
        <v>0</v>
      </c>
      <c r="L32" t="str">
        <f t="shared" si="1"/>
        <v>Site #3</v>
      </c>
      <c r="M32" s="27" t="s">
        <v>85</v>
      </c>
      <c r="N32" s="516" t="s">
        <v>70</v>
      </c>
      <c r="O32" s="517">
        <v>0</v>
      </c>
      <c r="Q32" t="str">
        <f t="shared" si="2"/>
        <v>Site #4</v>
      </c>
      <c r="R32" s="27" t="s">
        <v>85</v>
      </c>
      <c r="S32" s="516" t="s">
        <v>70</v>
      </c>
      <c r="T32" s="517">
        <v>0</v>
      </c>
      <c r="V32" t="str">
        <f t="shared" si="3"/>
        <v>Site #5</v>
      </c>
      <c r="W32" s="27" t="s">
        <v>85</v>
      </c>
      <c r="X32" s="516" t="s">
        <v>70</v>
      </c>
      <c r="Y32" s="517">
        <v>0</v>
      </c>
    </row>
    <row r="33" spans="2:26" x14ac:dyDescent="0.3">
      <c r="B33" s="375" t="s">
        <v>52</v>
      </c>
      <c r="C33" s="376" t="s">
        <v>86</v>
      </c>
      <c r="D33" s="516" t="s">
        <v>70</v>
      </c>
      <c r="E33" s="517">
        <v>0</v>
      </c>
      <c r="G33" s="375" t="str">
        <f t="shared" si="0"/>
        <v>Site #2</v>
      </c>
      <c r="H33" s="376" t="s">
        <v>86</v>
      </c>
      <c r="I33" s="516" t="s">
        <v>70</v>
      </c>
      <c r="J33" s="517">
        <v>0</v>
      </c>
      <c r="L33" t="str">
        <f t="shared" si="1"/>
        <v>Site #3</v>
      </c>
      <c r="M33" s="27" t="s">
        <v>86</v>
      </c>
      <c r="N33" s="516" t="s">
        <v>70</v>
      </c>
      <c r="O33" s="517">
        <v>0</v>
      </c>
      <c r="Q33" t="str">
        <f t="shared" si="2"/>
        <v>Site #4</v>
      </c>
      <c r="R33" s="27" t="s">
        <v>86</v>
      </c>
      <c r="S33" s="516" t="s">
        <v>70</v>
      </c>
      <c r="T33" s="517">
        <v>0</v>
      </c>
      <c r="V33" t="str">
        <f t="shared" si="3"/>
        <v>Site #5</v>
      </c>
      <c r="W33" s="27" t="s">
        <v>86</v>
      </c>
      <c r="X33" s="516" t="s">
        <v>70</v>
      </c>
      <c r="Y33" s="517">
        <v>0</v>
      </c>
    </row>
    <row r="34" spans="2:26" x14ac:dyDescent="0.3">
      <c r="B34" s="375" t="s">
        <v>52</v>
      </c>
      <c r="C34" s="376" t="s">
        <v>87</v>
      </c>
      <c r="D34" s="516" t="s">
        <v>80</v>
      </c>
      <c r="E34" s="517">
        <v>0</v>
      </c>
      <c r="G34" s="375" t="str">
        <f t="shared" si="0"/>
        <v>Site #2</v>
      </c>
      <c r="H34" s="376" t="s">
        <v>87</v>
      </c>
      <c r="I34" s="516" t="s">
        <v>80</v>
      </c>
      <c r="J34" s="517">
        <v>0</v>
      </c>
      <c r="L34" t="str">
        <f t="shared" si="1"/>
        <v>Site #3</v>
      </c>
      <c r="M34" s="27" t="s">
        <v>87</v>
      </c>
      <c r="N34" s="516" t="s">
        <v>80</v>
      </c>
      <c r="O34" s="517">
        <v>0</v>
      </c>
      <c r="Q34" t="str">
        <f t="shared" si="2"/>
        <v>Site #4</v>
      </c>
      <c r="R34" s="27" t="s">
        <v>87</v>
      </c>
      <c r="S34" s="516" t="s">
        <v>80</v>
      </c>
      <c r="T34" s="517">
        <v>0</v>
      </c>
      <c r="V34" t="str">
        <f t="shared" si="3"/>
        <v>Site #5</v>
      </c>
      <c r="W34" s="27" t="s">
        <v>87</v>
      </c>
      <c r="X34" s="516" t="s">
        <v>80</v>
      </c>
      <c r="Y34" s="517">
        <v>0</v>
      </c>
    </row>
    <row r="35" spans="2:26" x14ac:dyDescent="0.3">
      <c r="B35" s="375" t="s">
        <v>52</v>
      </c>
      <c r="C35" s="378" t="s">
        <v>88</v>
      </c>
      <c r="D35" s="518" t="s">
        <v>89</v>
      </c>
      <c r="E35" s="517">
        <v>0</v>
      </c>
      <c r="G35" s="375" t="str">
        <f t="shared" si="0"/>
        <v>Site #2</v>
      </c>
      <c r="H35" s="378" t="s">
        <v>88</v>
      </c>
      <c r="I35" s="519" t="s">
        <v>89</v>
      </c>
      <c r="J35" s="517">
        <v>0</v>
      </c>
      <c r="L35" t="str">
        <f t="shared" si="1"/>
        <v>Site #3</v>
      </c>
      <c r="M35" s="145" t="s">
        <v>88</v>
      </c>
      <c r="N35" s="519" t="s">
        <v>89</v>
      </c>
      <c r="O35" s="517">
        <v>0</v>
      </c>
      <c r="Q35" t="str">
        <f t="shared" si="2"/>
        <v>Site #4</v>
      </c>
      <c r="R35" s="145" t="s">
        <v>88</v>
      </c>
      <c r="S35" s="519" t="s">
        <v>89</v>
      </c>
      <c r="T35" s="517">
        <v>0</v>
      </c>
      <c r="V35" t="str">
        <f t="shared" si="3"/>
        <v>Site #5</v>
      </c>
      <c r="W35" s="145" t="s">
        <v>88</v>
      </c>
      <c r="X35" s="519" t="s">
        <v>89</v>
      </c>
      <c r="Y35" s="517">
        <v>0</v>
      </c>
    </row>
    <row r="36" spans="2:26" x14ac:dyDescent="0.3">
      <c r="B36" s="375" t="s">
        <v>52</v>
      </c>
      <c r="C36" s="378" t="s">
        <v>90</v>
      </c>
      <c r="D36" s="518" t="s">
        <v>89</v>
      </c>
      <c r="E36" s="517">
        <v>0</v>
      </c>
      <c r="G36" s="375" t="str">
        <f t="shared" si="0"/>
        <v>Site #2</v>
      </c>
      <c r="H36" s="378" t="s">
        <v>90</v>
      </c>
      <c r="I36" s="519" t="s">
        <v>89</v>
      </c>
      <c r="J36" s="517">
        <v>0</v>
      </c>
      <c r="L36" t="str">
        <f t="shared" si="1"/>
        <v>Site #3</v>
      </c>
      <c r="M36" s="145" t="s">
        <v>90</v>
      </c>
      <c r="N36" s="519" t="s">
        <v>89</v>
      </c>
      <c r="O36" s="517">
        <v>0</v>
      </c>
      <c r="Q36" t="str">
        <f t="shared" si="2"/>
        <v>Site #4</v>
      </c>
      <c r="R36" s="145" t="s">
        <v>90</v>
      </c>
      <c r="S36" s="519" t="s">
        <v>89</v>
      </c>
      <c r="T36" s="517">
        <v>0</v>
      </c>
      <c r="V36" t="str">
        <f t="shared" si="3"/>
        <v>Site #5</v>
      </c>
      <c r="W36" s="145" t="s">
        <v>90</v>
      </c>
      <c r="X36" s="519" t="s">
        <v>89</v>
      </c>
      <c r="Y36" s="517">
        <v>0</v>
      </c>
    </row>
    <row r="37" spans="2:26" x14ac:dyDescent="0.3">
      <c r="B37" s="375" t="s">
        <v>52</v>
      </c>
      <c r="C37" s="378" t="s">
        <v>91</v>
      </c>
      <c r="D37" s="518" t="s">
        <v>89</v>
      </c>
      <c r="E37" s="517">
        <v>0</v>
      </c>
      <c r="G37" s="375" t="str">
        <f t="shared" si="0"/>
        <v>Site #2</v>
      </c>
      <c r="H37" s="378" t="s">
        <v>91</v>
      </c>
      <c r="I37" s="519" t="s">
        <v>89</v>
      </c>
      <c r="J37" s="517">
        <v>0</v>
      </c>
      <c r="L37" t="str">
        <f t="shared" si="1"/>
        <v>Site #3</v>
      </c>
      <c r="M37" s="145" t="s">
        <v>91</v>
      </c>
      <c r="N37" s="519" t="s">
        <v>89</v>
      </c>
      <c r="O37" s="517">
        <v>0</v>
      </c>
      <c r="Q37" t="str">
        <f t="shared" si="2"/>
        <v>Site #4</v>
      </c>
      <c r="R37" s="145" t="s">
        <v>91</v>
      </c>
      <c r="S37" s="519" t="s">
        <v>89</v>
      </c>
      <c r="T37" s="517">
        <v>0</v>
      </c>
      <c r="V37" t="str">
        <f t="shared" si="3"/>
        <v>Site #5</v>
      </c>
      <c r="W37" s="145" t="s">
        <v>91</v>
      </c>
      <c r="X37" s="519" t="s">
        <v>89</v>
      </c>
      <c r="Y37" s="517">
        <v>0</v>
      </c>
    </row>
    <row r="38" spans="2:26" ht="14.5" thickBot="1" x14ac:dyDescent="0.35"/>
    <row r="39" spans="2:26" ht="14.5" thickBot="1" x14ac:dyDescent="0.35">
      <c r="B39" s="297" t="s">
        <v>92</v>
      </c>
      <c r="C39" s="515" t="s">
        <v>479</v>
      </c>
      <c r="D39" s="298"/>
      <c r="E39" s="299"/>
      <c r="F39" s="7"/>
      <c r="G39" s="297" t="s">
        <v>93</v>
      </c>
      <c r="H39" s="515" t="s">
        <v>94</v>
      </c>
      <c r="I39" s="298"/>
      <c r="J39" s="299"/>
      <c r="K39" s="7"/>
      <c r="L39" s="297" t="s">
        <v>95</v>
      </c>
      <c r="M39" s="515" t="s">
        <v>96</v>
      </c>
      <c r="N39" s="298"/>
      <c r="O39" s="299"/>
      <c r="P39" s="7"/>
      <c r="Q39" s="297" t="s">
        <v>97</v>
      </c>
      <c r="R39" s="515" t="s">
        <v>98</v>
      </c>
      <c r="S39" s="298"/>
      <c r="T39" s="299"/>
      <c r="U39" s="7"/>
      <c r="V39" s="297" t="s">
        <v>99</v>
      </c>
      <c r="W39" s="515" t="s">
        <v>100</v>
      </c>
      <c r="X39" s="298"/>
      <c r="Y39" s="299"/>
      <c r="Z39" s="7"/>
    </row>
    <row r="40" spans="2:26" x14ac:dyDescent="0.3">
      <c r="B40" s="119" t="s">
        <v>61</v>
      </c>
      <c r="C40" s="26" t="s">
        <v>62</v>
      </c>
      <c r="D40" s="26" t="s">
        <v>63</v>
      </c>
      <c r="E40" s="26" t="s">
        <v>64</v>
      </c>
      <c r="F40" s="28"/>
      <c r="G40" s="119" t="s">
        <v>61</v>
      </c>
      <c r="H40" s="26" t="s">
        <v>62</v>
      </c>
      <c r="I40" s="26" t="s">
        <v>63</v>
      </c>
      <c r="J40" s="26" t="s">
        <v>64</v>
      </c>
      <c r="K40" s="28"/>
      <c r="L40" s="119" t="s">
        <v>61</v>
      </c>
      <c r="M40" s="26" t="s">
        <v>62</v>
      </c>
      <c r="N40" s="26" t="s">
        <v>63</v>
      </c>
      <c r="O40" s="26" t="s">
        <v>64</v>
      </c>
      <c r="Q40" s="119" t="s">
        <v>61</v>
      </c>
      <c r="R40" s="26" t="s">
        <v>62</v>
      </c>
      <c r="S40" s="26" t="s">
        <v>63</v>
      </c>
      <c r="T40" s="26" t="s">
        <v>64</v>
      </c>
      <c r="U40" s="28"/>
      <c r="V40" s="119" t="s">
        <v>61</v>
      </c>
      <c r="W40" s="26" t="s">
        <v>62</v>
      </c>
      <c r="X40" s="26" t="s">
        <v>63</v>
      </c>
      <c r="Y40" s="26" t="s">
        <v>64</v>
      </c>
    </row>
    <row r="41" spans="2:26" x14ac:dyDescent="0.3">
      <c r="B41" t="str">
        <f>C39</f>
        <v>Site #6</v>
      </c>
      <c r="C41" s="27" t="s">
        <v>65</v>
      </c>
      <c r="D41" s="516" t="s">
        <v>66</v>
      </c>
      <c r="E41" s="517">
        <v>0</v>
      </c>
      <c r="G41" t="str">
        <f>H39</f>
        <v>Site #7</v>
      </c>
      <c r="H41" s="27" t="s">
        <v>65</v>
      </c>
      <c r="I41" s="516" t="s">
        <v>66</v>
      </c>
      <c r="J41" s="517">
        <v>0</v>
      </c>
      <c r="L41" t="str">
        <f>M39</f>
        <v>Site #8</v>
      </c>
      <c r="M41" s="27" t="s">
        <v>65</v>
      </c>
      <c r="N41" s="516" t="s">
        <v>66</v>
      </c>
      <c r="O41" s="517">
        <v>0</v>
      </c>
      <c r="Q41" t="str">
        <f>R39</f>
        <v>Site #9</v>
      </c>
      <c r="R41" s="27" t="s">
        <v>65</v>
      </c>
      <c r="S41" s="516" t="s">
        <v>66</v>
      </c>
      <c r="T41" s="517">
        <v>0</v>
      </c>
      <c r="V41" t="str">
        <f>W39</f>
        <v>Site #10</v>
      </c>
      <c r="W41" s="27" t="s">
        <v>65</v>
      </c>
      <c r="X41" s="516" t="s">
        <v>66</v>
      </c>
      <c r="Y41" s="517">
        <v>0</v>
      </c>
    </row>
    <row r="42" spans="2:26" x14ac:dyDescent="0.3">
      <c r="B42" t="str">
        <f>B41</f>
        <v>Site #6</v>
      </c>
      <c r="C42" s="27" t="s">
        <v>67</v>
      </c>
      <c r="D42" s="516" t="s">
        <v>66</v>
      </c>
      <c r="E42" s="517">
        <v>0</v>
      </c>
      <c r="G42" t="str">
        <f>G41</f>
        <v>Site #7</v>
      </c>
      <c r="H42" s="27" t="s">
        <v>67</v>
      </c>
      <c r="I42" s="516" t="s">
        <v>68</v>
      </c>
      <c r="J42" s="517">
        <v>0</v>
      </c>
      <c r="L42" t="str">
        <f>L41</f>
        <v>Site #8</v>
      </c>
      <c r="M42" s="27" t="s">
        <v>67</v>
      </c>
      <c r="N42" s="516" t="s">
        <v>68</v>
      </c>
      <c r="O42" s="517">
        <v>0</v>
      </c>
      <c r="Q42" t="str">
        <f>Q41</f>
        <v>Site #9</v>
      </c>
      <c r="R42" s="27" t="s">
        <v>67</v>
      </c>
      <c r="S42" s="516" t="s">
        <v>68</v>
      </c>
      <c r="T42" s="517">
        <v>0</v>
      </c>
      <c r="V42" t="str">
        <f>V41</f>
        <v>Site #10</v>
      </c>
      <c r="W42" s="27" t="s">
        <v>67</v>
      </c>
      <c r="X42" s="516" t="s">
        <v>68</v>
      </c>
      <c r="Y42" s="517">
        <v>0</v>
      </c>
    </row>
    <row r="43" spans="2:26" s="28" customFormat="1" x14ac:dyDescent="0.3">
      <c r="B43" t="str">
        <f>B41</f>
        <v>Site #6</v>
      </c>
      <c r="C43" s="27" t="s">
        <v>69</v>
      </c>
      <c r="D43" s="516" t="s">
        <v>70</v>
      </c>
      <c r="E43" s="517">
        <v>0</v>
      </c>
      <c r="F43" s="3"/>
      <c r="G43" t="str">
        <f>G41</f>
        <v>Site #7</v>
      </c>
      <c r="H43" s="27" t="s">
        <v>69</v>
      </c>
      <c r="I43" s="516" t="s">
        <v>70</v>
      </c>
      <c r="J43" s="517">
        <v>0</v>
      </c>
      <c r="K43" s="3"/>
      <c r="L43" t="str">
        <f>L41</f>
        <v>Site #8</v>
      </c>
      <c r="M43" s="27" t="s">
        <v>69</v>
      </c>
      <c r="N43" s="516" t="s">
        <v>70</v>
      </c>
      <c r="O43" s="517">
        <v>0</v>
      </c>
      <c r="Q43" t="str">
        <f>Q41</f>
        <v>Site #9</v>
      </c>
      <c r="R43" s="27" t="s">
        <v>69</v>
      </c>
      <c r="S43" s="516" t="s">
        <v>70</v>
      </c>
      <c r="T43" s="517">
        <v>0</v>
      </c>
      <c r="U43" s="3"/>
      <c r="V43" t="str">
        <f>V41</f>
        <v>Site #10</v>
      </c>
      <c r="W43" s="27" t="s">
        <v>69</v>
      </c>
      <c r="X43" s="516" t="s">
        <v>70</v>
      </c>
      <c r="Y43" s="517">
        <v>0</v>
      </c>
    </row>
    <row r="44" spans="2:26" x14ac:dyDescent="0.3">
      <c r="B44" t="str">
        <f>B41</f>
        <v>Site #6</v>
      </c>
      <c r="C44" s="27" t="s">
        <v>71</v>
      </c>
      <c r="D44" s="516" t="s">
        <v>72</v>
      </c>
      <c r="E44" s="517">
        <v>0</v>
      </c>
      <c r="G44" t="str">
        <f>G41</f>
        <v>Site #7</v>
      </c>
      <c r="H44" s="27" t="s">
        <v>71</v>
      </c>
      <c r="I44" s="516" t="s">
        <v>72</v>
      </c>
      <c r="J44" s="517">
        <v>0</v>
      </c>
      <c r="L44" t="str">
        <f>L41</f>
        <v>Site #8</v>
      </c>
      <c r="M44" s="27" t="s">
        <v>71</v>
      </c>
      <c r="N44" s="516" t="s">
        <v>72</v>
      </c>
      <c r="O44" s="517">
        <v>0</v>
      </c>
      <c r="Q44" t="str">
        <f>Q41</f>
        <v>Site #9</v>
      </c>
      <c r="R44" s="27" t="s">
        <v>71</v>
      </c>
      <c r="S44" s="516" t="s">
        <v>72</v>
      </c>
      <c r="T44" s="517">
        <v>0</v>
      </c>
      <c r="V44" t="str">
        <f>V41</f>
        <v>Site #10</v>
      </c>
      <c r="W44" s="27" t="s">
        <v>71</v>
      </c>
      <c r="X44" s="516" t="s">
        <v>72</v>
      </c>
      <c r="Y44" s="517">
        <v>0</v>
      </c>
    </row>
    <row r="45" spans="2:26" x14ac:dyDescent="0.3">
      <c r="B45" t="str">
        <f>B41</f>
        <v>Site #6</v>
      </c>
      <c r="C45" s="27" t="s">
        <v>73</v>
      </c>
      <c r="D45" s="516" t="s">
        <v>72</v>
      </c>
      <c r="E45" s="517">
        <v>0</v>
      </c>
      <c r="G45" t="str">
        <f>G41</f>
        <v>Site #7</v>
      </c>
      <c r="H45" s="27" t="s">
        <v>73</v>
      </c>
      <c r="I45" s="516" t="s">
        <v>72</v>
      </c>
      <c r="J45" s="517">
        <v>0</v>
      </c>
      <c r="L45" t="str">
        <f>L41</f>
        <v>Site #8</v>
      </c>
      <c r="M45" s="27" t="s">
        <v>73</v>
      </c>
      <c r="N45" s="516" t="s">
        <v>72</v>
      </c>
      <c r="O45" s="517">
        <v>0</v>
      </c>
      <c r="Q45" t="str">
        <f>Q41</f>
        <v>Site #9</v>
      </c>
      <c r="R45" s="27" t="s">
        <v>73</v>
      </c>
      <c r="S45" s="516" t="s">
        <v>72</v>
      </c>
      <c r="T45" s="517">
        <v>0</v>
      </c>
      <c r="V45" t="str">
        <f>V41</f>
        <v>Site #10</v>
      </c>
      <c r="W45" s="27" t="s">
        <v>73</v>
      </c>
      <c r="X45" s="516" t="s">
        <v>72</v>
      </c>
      <c r="Y45" s="517">
        <v>0</v>
      </c>
    </row>
    <row r="46" spans="2:26" x14ac:dyDescent="0.3">
      <c r="B46" t="str">
        <f>B41</f>
        <v>Site #6</v>
      </c>
      <c r="C46" s="27" t="s">
        <v>74</v>
      </c>
      <c r="D46" s="516" t="s">
        <v>72</v>
      </c>
      <c r="E46" s="517">
        <v>0</v>
      </c>
      <c r="G46" t="str">
        <f>G41</f>
        <v>Site #7</v>
      </c>
      <c r="H46" s="27" t="s">
        <v>74</v>
      </c>
      <c r="I46" s="516" t="s">
        <v>72</v>
      </c>
      <c r="J46" s="517">
        <v>0</v>
      </c>
      <c r="L46" t="str">
        <f>L41</f>
        <v>Site #8</v>
      </c>
      <c r="M46" s="27" t="s">
        <v>74</v>
      </c>
      <c r="N46" s="516" t="s">
        <v>72</v>
      </c>
      <c r="O46" s="517">
        <v>0</v>
      </c>
      <c r="Q46" t="str">
        <f>Q41</f>
        <v>Site #9</v>
      </c>
      <c r="R46" s="27" t="s">
        <v>74</v>
      </c>
      <c r="S46" s="516" t="s">
        <v>72</v>
      </c>
      <c r="T46" s="517">
        <v>0</v>
      </c>
      <c r="V46" t="str">
        <f>V41</f>
        <v>Site #10</v>
      </c>
      <c r="W46" s="27" t="s">
        <v>74</v>
      </c>
      <c r="X46" s="516" t="s">
        <v>72</v>
      </c>
      <c r="Y46" s="517">
        <v>0</v>
      </c>
    </row>
    <row r="47" spans="2:26" x14ac:dyDescent="0.3">
      <c r="B47" t="str">
        <f>B41</f>
        <v>Site #6</v>
      </c>
      <c r="C47" s="27" t="s">
        <v>75</v>
      </c>
      <c r="D47" s="516" t="s">
        <v>76</v>
      </c>
      <c r="E47" s="517">
        <v>0</v>
      </c>
      <c r="G47" t="str">
        <f>G41</f>
        <v>Site #7</v>
      </c>
      <c r="H47" s="27" t="s">
        <v>75</v>
      </c>
      <c r="I47" s="516" t="s">
        <v>76</v>
      </c>
      <c r="J47" s="517">
        <v>0</v>
      </c>
      <c r="L47" t="str">
        <f>L41</f>
        <v>Site #8</v>
      </c>
      <c r="M47" s="27" t="s">
        <v>75</v>
      </c>
      <c r="N47" s="516" t="s">
        <v>76</v>
      </c>
      <c r="O47" s="517">
        <v>0</v>
      </c>
      <c r="Q47" t="str">
        <f>Q41</f>
        <v>Site #9</v>
      </c>
      <c r="R47" s="27" t="s">
        <v>75</v>
      </c>
      <c r="S47" s="516" t="s">
        <v>76</v>
      </c>
      <c r="T47" s="517">
        <v>0</v>
      </c>
      <c r="V47" t="str">
        <f>V41</f>
        <v>Site #10</v>
      </c>
      <c r="W47" s="27" t="s">
        <v>75</v>
      </c>
      <c r="X47" s="516" t="s">
        <v>76</v>
      </c>
      <c r="Y47" s="517">
        <v>0</v>
      </c>
    </row>
    <row r="48" spans="2:26" x14ac:dyDescent="0.3">
      <c r="B48" t="str">
        <f t="shared" ref="B48:B60" si="4">B42</f>
        <v>Site #6</v>
      </c>
      <c r="C48" s="27" t="s">
        <v>77</v>
      </c>
      <c r="D48" s="516" t="s">
        <v>72</v>
      </c>
      <c r="E48" s="517">
        <v>0</v>
      </c>
      <c r="F48" s="11"/>
      <c r="G48" t="str">
        <f t="shared" ref="G48:G60" si="5">G42</f>
        <v>Site #7</v>
      </c>
      <c r="H48" s="27" t="s">
        <v>77</v>
      </c>
      <c r="I48" s="516" t="s">
        <v>72</v>
      </c>
      <c r="J48" s="517">
        <v>0</v>
      </c>
      <c r="L48" t="str">
        <f t="shared" ref="L48:L60" si="6">L42</f>
        <v>Site #8</v>
      </c>
      <c r="M48" s="27" t="s">
        <v>77</v>
      </c>
      <c r="N48" s="516" t="s">
        <v>72</v>
      </c>
      <c r="O48" s="517">
        <v>0</v>
      </c>
      <c r="Q48" t="str">
        <f t="shared" ref="Q48:Q60" si="7">Q42</f>
        <v>Site #9</v>
      </c>
      <c r="R48" s="27" t="s">
        <v>77</v>
      </c>
      <c r="S48" s="516" t="s">
        <v>72</v>
      </c>
      <c r="T48" s="517">
        <v>0</v>
      </c>
      <c r="V48" t="str">
        <f t="shared" ref="V48:V60" si="8">V42</f>
        <v>Site #10</v>
      </c>
      <c r="W48" s="27" t="s">
        <v>77</v>
      </c>
      <c r="X48" s="516" t="s">
        <v>72</v>
      </c>
      <c r="Y48" s="517">
        <v>0</v>
      </c>
    </row>
    <row r="49" spans="1:25" x14ac:dyDescent="0.3">
      <c r="B49" t="str">
        <f t="shared" si="4"/>
        <v>Site #6</v>
      </c>
      <c r="C49" s="27" t="s">
        <v>78</v>
      </c>
      <c r="D49" s="516" t="s">
        <v>72</v>
      </c>
      <c r="E49" s="517">
        <v>0</v>
      </c>
      <c r="G49" t="str">
        <f t="shared" si="5"/>
        <v>Site #7</v>
      </c>
      <c r="H49" s="27" t="s">
        <v>78</v>
      </c>
      <c r="I49" s="516" t="s">
        <v>72</v>
      </c>
      <c r="J49" s="517">
        <v>0</v>
      </c>
      <c r="L49" t="str">
        <f t="shared" si="6"/>
        <v>Site #8</v>
      </c>
      <c r="M49" s="27" t="s">
        <v>78</v>
      </c>
      <c r="N49" s="516" t="s">
        <v>72</v>
      </c>
      <c r="O49" s="517">
        <v>0</v>
      </c>
      <c r="Q49" t="str">
        <f t="shared" si="7"/>
        <v>Site #9</v>
      </c>
      <c r="R49" s="27" t="s">
        <v>78</v>
      </c>
      <c r="S49" s="516" t="s">
        <v>72</v>
      </c>
      <c r="T49" s="517">
        <v>0</v>
      </c>
      <c r="V49" t="str">
        <f t="shared" si="8"/>
        <v>Site #10</v>
      </c>
      <c r="W49" s="27" t="s">
        <v>78</v>
      </c>
      <c r="X49" s="516" t="s">
        <v>72</v>
      </c>
      <c r="Y49" s="517">
        <v>0</v>
      </c>
    </row>
    <row r="50" spans="1:25" x14ac:dyDescent="0.3">
      <c r="B50" t="str">
        <f t="shared" si="4"/>
        <v>Site #6</v>
      </c>
      <c r="C50" s="27" t="s">
        <v>79</v>
      </c>
      <c r="D50" s="516" t="s">
        <v>80</v>
      </c>
      <c r="E50" s="517">
        <v>0</v>
      </c>
      <c r="G50" t="str">
        <f t="shared" si="5"/>
        <v>Site #7</v>
      </c>
      <c r="H50" s="27" t="s">
        <v>79</v>
      </c>
      <c r="I50" s="516" t="s">
        <v>80</v>
      </c>
      <c r="J50" s="517">
        <v>0</v>
      </c>
      <c r="L50" t="str">
        <f t="shared" si="6"/>
        <v>Site #8</v>
      </c>
      <c r="M50" s="27" t="s">
        <v>79</v>
      </c>
      <c r="N50" s="516" t="s">
        <v>80</v>
      </c>
      <c r="O50" s="517">
        <v>0</v>
      </c>
      <c r="Q50" t="str">
        <f t="shared" si="7"/>
        <v>Site #9</v>
      </c>
      <c r="R50" s="27" t="s">
        <v>79</v>
      </c>
      <c r="S50" s="516" t="s">
        <v>80</v>
      </c>
      <c r="T50" s="517">
        <v>0</v>
      </c>
      <c r="V50" t="str">
        <f t="shared" si="8"/>
        <v>Site #10</v>
      </c>
      <c r="W50" s="27" t="s">
        <v>79</v>
      </c>
      <c r="X50" s="516" t="s">
        <v>80</v>
      </c>
      <c r="Y50" s="517">
        <v>0</v>
      </c>
    </row>
    <row r="51" spans="1:25" x14ac:dyDescent="0.3">
      <c r="B51" t="str">
        <f t="shared" si="4"/>
        <v>Site #6</v>
      </c>
      <c r="C51" s="27" t="s">
        <v>81</v>
      </c>
      <c r="D51" s="516" t="s">
        <v>80</v>
      </c>
      <c r="E51" s="517">
        <v>0</v>
      </c>
      <c r="F51"/>
      <c r="G51" t="str">
        <f t="shared" si="5"/>
        <v>Site #7</v>
      </c>
      <c r="H51" s="27" t="s">
        <v>81</v>
      </c>
      <c r="I51" s="516" t="s">
        <v>80</v>
      </c>
      <c r="J51" s="517">
        <v>0</v>
      </c>
      <c r="L51" t="str">
        <f t="shared" si="6"/>
        <v>Site #8</v>
      </c>
      <c r="M51" s="27" t="s">
        <v>81</v>
      </c>
      <c r="N51" s="516" t="s">
        <v>80</v>
      </c>
      <c r="O51" s="517">
        <v>0</v>
      </c>
      <c r="Q51" t="str">
        <f t="shared" si="7"/>
        <v>Site #9</v>
      </c>
      <c r="R51" s="27" t="s">
        <v>81</v>
      </c>
      <c r="S51" s="516" t="s">
        <v>80</v>
      </c>
      <c r="T51" s="517">
        <v>0</v>
      </c>
      <c r="V51" t="str">
        <f t="shared" si="8"/>
        <v>Site #10</v>
      </c>
      <c r="W51" s="27" t="s">
        <v>81</v>
      </c>
      <c r="X51" s="516" t="s">
        <v>80</v>
      </c>
      <c r="Y51" s="517">
        <v>0</v>
      </c>
    </row>
    <row r="52" spans="1:25" x14ac:dyDescent="0.3">
      <c r="B52" t="str">
        <f t="shared" si="4"/>
        <v>Site #6</v>
      </c>
      <c r="C52" s="27" t="s">
        <v>82</v>
      </c>
      <c r="D52" s="516" t="s">
        <v>72</v>
      </c>
      <c r="E52" s="517">
        <v>0</v>
      </c>
      <c r="G52" t="str">
        <f t="shared" si="5"/>
        <v>Site #7</v>
      </c>
      <c r="H52" s="27" t="s">
        <v>82</v>
      </c>
      <c r="I52" s="516" t="s">
        <v>72</v>
      </c>
      <c r="J52" s="517">
        <v>0</v>
      </c>
      <c r="L52" t="str">
        <f t="shared" si="6"/>
        <v>Site #8</v>
      </c>
      <c r="M52" s="27" t="s">
        <v>82</v>
      </c>
      <c r="N52" s="516" t="s">
        <v>72</v>
      </c>
      <c r="O52" s="517">
        <v>0</v>
      </c>
      <c r="Q52" t="str">
        <f t="shared" si="7"/>
        <v>Site #9</v>
      </c>
      <c r="R52" s="27" t="s">
        <v>82</v>
      </c>
      <c r="S52" s="516" t="s">
        <v>72</v>
      </c>
      <c r="T52" s="517">
        <v>0</v>
      </c>
      <c r="V52" t="str">
        <f t="shared" si="8"/>
        <v>Site #10</v>
      </c>
      <c r="W52" s="27" t="s">
        <v>82</v>
      </c>
      <c r="X52" s="516" t="s">
        <v>72</v>
      </c>
      <c r="Y52" s="517">
        <v>0</v>
      </c>
    </row>
    <row r="53" spans="1:25" s="28" customFormat="1" x14ac:dyDescent="0.3">
      <c r="B53" t="str">
        <f t="shared" si="4"/>
        <v>Site #6</v>
      </c>
      <c r="C53" s="27" t="s">
        <v>83</v>
      </c>
      <c r="D53" s="516" t="s">
        <v>70</v>
      </c>
      <c r="E53" s="517">
        <v>0</v>
      </c>
      <c r="G53" t="str">
        <f t="shared" si="5"/>
        <v>Site #7</v>
      </c>
      <c r="H53" s="27" t="s">
        <v>83</v>
      </c>
      <c r="I53" s="516" t="s">
        <v>70</v>
      </c>
      <c r="J53" s="517">
        <v>0</v>
      </c>
      <c r="L53" t="str">
        <f t="shared" si="6"/>
        <v>Site #8</v>
      </c>
      <c r="M53" s="27" t="s">
        <v>83</v>
      </c>
      <c r="N53" s="516" t="s">
        <v>70</v>
      </c>
      <c r="O53" s="517">
        <v>0</v>
      </c>
      <c r="Q53" t="str">
        <f t="shared" si="7"/>
        <v>Site #9</v>
      </c>
      <c r="R53" s="27" t="s">
        <v>83</v>
      </c>
      <c r="S53" s="516" t="s">
        <v>70</v>
      </c>
      <c r="T53" s="517">
        <v>0</v>
      </c>
      <c r="V53" t="str">
        <f t="shared" si="8"/>
        <v>Site #10</v>
      </c>
      <c r="W53" s="27" t="s">
        <v>83</v>
      </c>
      <c r="X53" s="516" t="s">
        <v>70</v>
      </c>
      <c r="Y53" s="517">
        <v>0</v>
      </c>
    </row>
    <row r="54" spans="1:25" x14ac:dyDescent="0.3">
      <c r="B54" t="str">
        <f t="shared" si="4"/>
        <v>Site #6</v>
      </c>
      <c r="C54" s="27" t="s">
        <v>84</v>
      </c>
      <c r="D54" s="516" t="s">
        <v>70</v>
      </c>
      <c r="E54" s="517">
        <v>0</v>
      </c>
      <c r="G54" t="str">
        <f t="shared" si="5"/>
        <v>Site #7</v>
      </c>
      <c r="H54" s="27" t="s">
        <v>84</v>
      </c>
      <c r="I54" s="516" t="s">
        <v>70</v>
      </c>
      <c r="J54" s="517">
        <v>0</v>
      </c>
      <c r="L54" t="str">
        <f t="shared" si="6"/>
        <v>Site #8</v>
      </c>
      <c r="M54" s="27" t="s">
        <v>84</v>
      </c>
      <c r="N54" s="516" t="s">
        <v>70</v>
      </c>
      <c r="O54" s="517">
        <v>0</v>
      </c>
      <c r="Q54" t="str">
        <f t="shared" si="7"/>
        <v>Site #9</v>
      </c>
      <c r="R54" s="27" t="s">
        <v>84</v>
      </c>
      <c r="S54" s="516" t="s">
        <v>70</v>
      </c>
      <c r="T54" s="517">
        <v>0</v>
      </c>
      <c r="V54" t="str">
        <f t="shared" si="8"/>
        <v>Site #10</v>
      </c>
      <c r="W54" s="27" t="s">
        <v>84</v>
      </c>
      <c r="X54" s="516" t="s">
        <v>70</v>
      </c>
      <c r="Y54" s="517">
        <v>0</v>
      </c>
    </row>
    <row r="55" spans="1:25" x14ac:dyDescent="0.3">
      <c r="B55" t="str">
        <f t="shared" si="4"/>
        <v>Site #6</v>
      </c>
      <c r="C55" s="27" t="s">
        <v>85</v>
      </c>
      <c r="D55" s="516" t="s">
        <v>70</v>
      </c>
      <c r="E55" s="517">
        <v>0</v>
      </c>
      <c r="G55" t="str">
        <f t="shared" si="5"/>
        <v>Site #7</v>
      </c>
      <c r="H55" s="27" t="s">
        <v>85</v>
      </c>
      <c r="I55" s="516" t="s">
        <v>70</v>
      </c>
      <c r="J55" s="517">
        <v>0</v>
      </c>
      <c r="L55" t="str">
        <f t="shared" si="6"/>
        <v>Site #8</v>
      </c>
      <c r="M55" s="27" t="s">
        <v>85</v>
      </c>
      <c r="N55" s="516" t="s">
        <v>70</v>
      </c>
      <c r="O55" s="517">
        <v>0</v>
      </c>
      <c r="Q55" t="str">
        <f t="shared" si="7"/>
        <v>Site #9</v>
      </c>
      <c r="R55" s="27" t="s">
        <v>85</v>
      </c>
      <c r="S55" s="516" t="s">
        <v>70</v>
      </c>
      <c r="T55" s="517">
        <v>0</v>
      </c>
      <c r="V55" t="str">
        <f t="shared" si="8"/>
        <v>Site #10</v>
      </c>
      <c r="W55" s="27" t="s">
        <v>85</v>
      </c>
      <c r="X55" s="516" t="s">
        <v>70</v>
      </c>
      <c r="Y55" s="517">
        <v>0</v>
      </c>
    </row>
    <row r="56" spans="1:25" x14ac:dyDescent="0.3">
      <c r="B56" t="str">
        <f t="shared" si="4"/>
        <v>Site #6</v>
      </c>
      <c r="C56" s="27" t="s">
        <v>86</v>
      </c>
      <c r="D56" s="516" t="s">
        <v>70</v>
      </c>
      <c r="E56" s="517">
        <v>0</v>
      </c>
      <c r="G56" t="str">
        <f t="shared" si="5"/>
        <v>Site #7</v>
      </c>
      <c r="H56" s="27" t="s">
        <v>86</v>
      </c>
      <c r="I56" s="516" t="s">
        <v>70</v>
      </c>
      <c r="J56" s="517">
        <v>0</v>
      </c>
      <c r="L56" t="str">
        <f t="shared" si="6"/>
        <v>Site #8</v>
      </c>
      <c r="M56" s="27" t="s">
        <v>86</v>
      </c>
      <c r="N56" s="516" t="s">
        <v>70</v>
      </c>
      <c r="O56" s="517">
        <v>0</v>
      </c>
      <c r="Q56" t="str">
        <f t="shared" si="7"/>
        <v>Site #9</v>
      </c>
      <c r="R56" s="27" t="s">
        <v>86</v>
      </c>
      <c r="S56" s="516" t="s">
        <v>70</v>
      </c>
      <c r="T56" s="517">
        <v>0</v>
      </c>
      <c r="V56" t="str">
        <f t="shared" si="8"/>
        <v>Site #10</v>
      </c>
      <c r="W56" s="27" t="s">
        <v>86</v>
      </c>
      <c r="X56" s="516" t="s">
        <v>70</v>
      </c>
      <c r="Y56" s="517">
        <v>0</v>
      </c>
    </row>
    <row r="57" spans="1:25" x14ac:dyDescent="0.3">
      <c r="B57" t="str">
        <f t="shared" si="4"/>
        <v>Site #6</v>
      </c>
      <c r="C57" s="27" t="s">
        <v>87</v>
      </c>
      <c r="D57" s="516" t="s">
        <v>80</v>
      </c>
      <c r="E57" s="517">
        <v>0</v>
      </c>
      <c r="G57" t="str">
        <f t="shared" si="5"/>
        <v>Site #7</v>
      </c>
      <c r="H57" s="27" t="s">
        <v>87</v>
      </c>
      <c r="I57" s="516" t="s">
        <v>80</v>
      </c>
      <c r="J57" s="517">
        <v>0</v>
      </c>
      <c r="L57" t="str">
        <f t="shared" si="6"/>
        <v>Site #8</v>
      </c>
      <c r="M57" s="27" t="s">
        <v>87</v>
      </c>
      <c r="N57" s="516" t="s">
        <v>80</v>
      </c>
      <c r="O57" s="517">
        <v>0</v>
      </c>
      <c r="Q57" t="str">
        <f t="shared" si="7"/>
        <v>Site #9</v>
      </c>
      <c r="R57" s="27" t="s">
        <v>87</v>
      </c>
      <c r="S57" s="516" t="s">
        <v>80</v>
      </c>
      <c r="T57" s="517">
        <v>0</v>
      </c>
      <c r="V57" t="str">
        <f t="shared" si="8"/>
        <v>Site #10</v>
      </c>
      <c r="W57" s="27" t="s">
        <v>87</v>
      </c>
      <c r="X57" s="516" t="s">
        <v>80</v>
      </c>
      <c r="Y57" s="517">
        <v>0</v>
      </c>
    </row>
    <row r="58" spans="1:25" x14ac:dyDescent="0.3">
      <c r="B58" t="str">
        <f t="shared" si="4"/>
        <v>Site #6</v>
      </c>
      <c r="C58" s="145" t="s">
        <v>88</v>
      </c>
      <c r="D58" s="519" t="s">
        <v>89</v>
      </c>
      <c r="E58" s="517">
        <v>0</v>
      </c>
      <c r="G58" t="str">
        <f t="shared" si="5"/>
        <v>Site #7</v>
      </c>
      <c r="H58" s="145" t="s">
        <v>88</v>
      </c>
      <c r="I58" s="519" t="s">
        <v>89</v>
      </c>
      <c r="J58" s="517">
        <v>0</v>
      </c>
      <c r="L58" t="str">
        <f t="shared" si="6"/>
        <v>Site #8</v>
      </c>
      <c r="M58" s="145" t="s">
        <v>88</v>
      </c>
      <c r="N58" s="519" t="s">
        <v>89</v>
      </c>
      <c r="O58" s="517">
        <v>0</v>
      </c>
      <c r="Q58" t="str">
        <f t="shared" si="7"/>
        <v>Site #9</v>
      </c>
      <c r="R58" s="145" t="s">
        <v>88</v>
      </c>
      <c r="S58" s="519" t="s">
        <v>89</v>
      </c>
      <c r="T58" s="517">
        <v>0</v>
      </c>
      <c r="V58" t="str">
        <f t="shared" si="8"/>
        <v>Site #10</v>
      </c>
      <c r="W58" s="145" t="s">
        <v>88</v>
      </c>
      <c r="X58" s="519" t="s">
        <v>89</v>
      </c>
      <c r="Y58" s="517">
        <v>0</v>
      </c>
    </row>
    <row r="59" spans="1:25" x14ac:dyDescent="0.3">
      <c r="B59" t="str">
        <f t="shared" si="4"/>
        <v>Site #6</v>
      </c>
      <c r="C59" s="145" t="s">
        <v>90</v>
      </c>
      <c r="D59" s="519" t="s">
        <v>89</v>
      </c>
      <c r="E59" s="517">
        <v>0</v>
      </c>
      <c r="G59" t="str">
        <f t="shared" si="5"/>
        <v>Site #7</v>
      </c>
      <c r="H59" s="145" t="s">
        <v>90</v>
      </c>
      <c r="I59" s="519" t="s">
        <v>89</v>
      </c>
      <c r="J59" s="517">
        <v>0</v>
      </c>
      <c r="L59" t="str">
        <f t="shared" si="6"/>
        <v>Site #8</v>
      </c>
      <c r="M59" s="145" t="s">
        <v>90</v>
      </c>
      <c r="N59" s="519" t="s">
        <v>89</v>
      </c>
      <c r="O59" s="517">
        <v>0</v>
      </c>
      <c r="Q59" t="str">
        <f t="shared" si="7"/>
        <v>Site #9</v>
      </c>
      <c r="R59" s="145" t="s">
        <v>90</v>
      </c>
      <c r="S59" s="519" t="s">
        <v>89</v>
      </c>
      <c r="T59" s="517">
        <v>0</v>
      </c>
      <c r="V59" t="str">
        <f t="shared" si="8"/>
        <v>Site #10</v>
      </c>
      <c r="W59" s="145" t="s">
        <v>90</v>
      </c>
      <c r="X59" s="519" t="s">
        <v>89</v>
      </c>
      <c r="Y59" s="517">
        <v>0</v>
      </c>
    </row>
    <row r="60" spans="1:25" x14ac:dyDescent="0.3">
      <c r="B60" t="str">
        <f t="shared" si="4"/>
        <v>Site #6</v>
      </c>
      <c r="C60" s="145" t="s">
        <v>91</v>
      </c>
      <c r="D60" s="519" t="s">
        <v>89</v>
      </c>
      <c r="E60" s="517">
        <v>0</v>
      </c>
      <c r="G60" t="str">
        <f t="shared" si="5"/>
        <v>Site #7</v>
      </c>
      <c r="H60" s="145" t="s">
        <v>91</v>
      </c>
      <c r="I60" s="519" t="s">
        <v>89</v>
      </c>
      <c r="J60" s="517">
        <v>0</v>
      </c>
      <c r="L60" t="str">
        <f t="shared" si="6"/>
        <v>Site #8</v>
      </c>
      <c r="M60" s="145" t="s">
        <v>91</v>
      </c>
      <c r="N60" s="519" t="s">
        <v>89</v>
      </c>
      <c r="O60" s="517">
        <v>0</v>
      </c>
      <c r="Q60" t="str">
        <f t="shared" si="7"/>
        <v>Site #9</v>
      </c>
      <c r="R60" s="145" t="s">
        <v>91</v>
      </c>
      <c r="S60" s="519" t="s">
        <v>89</v>
      </c>
      <c r="T60" s="517">
        <v>0</v>
      </c>
      <c r="V60" t="str">
        <f t="shared" si="8"/>
        <v>Site #10</v>
      </c>
      <c r="W60" s="145" t="s">
        <v>91</v>
      </c>
      <c r="X60" s="519" t="s">
        <v>89</v>
      </c>
      <c r="Y60" s="517">
        <v>0</v>
      </c>
    </row>
    <row r="61" spans="1:25" x14ac:dyDescent="0.3">
      <c r="F61"/>
    </row>
    <row r="63" spans="1:25" s="457" customFormat="1" ht="15.5" x14ac:dyDescent="0.35">
      <c r="A63" s="455" t="s">
        <v>101</v>
      </c>
      <c r="B63" s="456"/>
    </row>
    <row r="65" spans="2:12" x14ac:dyDescent="0.3">
      <c r="B65" s="373" t="s">
        <v>102</v>
      </c>
      <c r="C65" s="374"/>
      <c r="D65" s="374"/>
      <c r="E65" s="374"/>
      <c r="F65" s="374"/>
      <c r="G65" s="374"/>
      <c r="H65" s="374"/>
      <c r="I65" s="374"/>
      <c r="J65" s="374"/>
      <c r="K65" s="374"/>
      <c r="L65" s="374"/>
    </row>
    <row r="66" spans="2:12" x14ac:dyDescent="0.3">
      <c r="B66" s="373" t="s">
        <v>103</v>
      </c>
      <c r="C66" s="374"/>
      <c r="D66" s="374"/>
      <c r="E66" s="374"/>
      <c r="F66" s="374"/>
      <c r="G66" s="374"/>
      <c r="H66" s="374"/>
      <c r="I66" s="374"/>
      <c r="J66" s="374"/>
      <c r="K66" s="374"/>
      <c r="L66" s="374"/>
    </row>
    <row r="67" spans="2:12" x14ac:dyDescent="0.3">
      <c r="B67" s="458" t="s">
        <v>104</v>
      </c>
      <c r="C67" s="374"/>
      <c r="D67" s="374"/>
      <c r="E67" s="374"/>
      <c r="F67" s="374"/>
      <c r="G67" s="374"/>
      <c r="H67" s="374"/>
      <c r="I67" s="374"/>
      <c r="J67" s="374"/>
      <c r="K67" s="374"/>
      <c r="L67" s="374"/>
    </row>
    <row r="68" spans="2:12" ht="14.5" thickBot="1" x14ac:dyDescent="0.35"/>
    <row r="69" spans="2:12" x14ac:dyDescent="0.3">
      <c r="B69" s="411" t="s">
        <v>105</v>
      </c>
      <c r="C69" s="412" t="s">
        <v>106</v>
      </c>
      <c r="D69" s="412"/>
      <c r="E69" s="412"/>
      <c r="F69" s="412"/>
    </row>
    <row r="70" spans="2:12" x14ac:dyDescent="0.3">
      <c r="B70" s="413" t="str" cm="1">
        <f t="array" ref="B70:B71">INDEX(_xlfn._xlws.SORT(Enterprise[[Emissions Source]:[Total Values]],3,-1),_xlfn.SEQUENCE(2),1)</f>
        <v>Electricity (renewable purchased)</v>
      </c>
      <c r="C70" s="547" t="str">
        <f>IF(OR(B70='Facility Emissions'!$C$76,B70='Facility Emissions'!$C$77,B70='Facility Emissions'!$C$80,B70='Facility Emissions'!$C$81,B70='Facility Emissions'!$C$82,B70='Facility Emissions'!$C$83,B70='Facility Emissions'!$C$84,B70='Facility Emissions'!$C$85,B70='Facility Emissions'!$C$86,B70='Facility Emissions'!$C$87,B70='Facility Emissions'!$C$88,B70='Facility Emissions'!$C$89,B70='Facility Emissions'!$C$90),"Start with Energy Efficiency, Electrification, and Fuel Switching","Start with Energy Efficiency and then Renewable Energy")</f>
        <v>Start with Energy Efficiency and then Renewable Energy</v>
      </c>
      <c r="D70" s="415"/>
      <c r="E70" s="481"/>
      <c r="F70" s="483"/>
    </row>
    <row r="71" spans="2:12" ht="14.5" thickBot="1" x14ac:dyDescent="0.35">
      <c r="B71" s="414" t="str">
        <v>Electricity (standard)</v>
      </c>
      <c r="C71" s="548" t="str">
        <f>IF(OR(B71='Facility Emissions'!$C$76,B71='Facility Emissions'!$C$77,B71='Facility Emissions'!$C$80,B71='Facility Emissions'!$C$81,B71='Facility Emissions'!$C$82,B71='Facility Emissions'!$C$83,B71='Facility Emissions'!$C$84,B71='Facility Emissions'!$C$85,B71='Facility Emissions'!$C$86,B71='Facility Emissions'!$C$87,B71='Facility Emissions'!$C$88,B71='Facility Emissions'!$C$89,B71='Facility Emissions'!$C$90),"Start with Energy Efficiency, Electrification, and Fuel Switching","Start with Energy Efficiency and then Renewable Energy")</f>
        <v>Start with Energy Efficiency and then Renewable Energy</v>
      </c>
      <c r="D71" s="416"/>
      <c r="E71" s="482"/>
      <c r="F71" s="416"/>
    </row>
    <row r="72" spans="2:12" x14ac:dyDescent="0.3">
      <c r="B72"/>
    </row>
    <row r="92" spans="2:2" x14ac:dyDescent="0.3">
      <c r="B92" s="451" t="s">
        <v>469</v>
      </c>
    </row>
    <row r="104" spans="5:5" x14ac:dyDescent="0.3">
      <c r="E104" s="451" t="s">
        <v>470</v>
      </c>
    </row>
  </sheetData>
  <sheetProtection algorithmName="SHA-512" hashValue="KGzXyfYazPMBQQLU4/Ir26vI6RFLRP/GL80+0hXLhNtQl7aGyRsMuVvZIPCy3SF8rAcng+uwqDmJVZ+NQVl3ww==" saltValue="jWf1sjWaf0CWsjywHHxtzQ==" spinCount="100000" sheet="1" objects="1" scenarios="1"/>
  <phoneticPr fontId="10" type="noConversion"/>
  <pageMargins left="0.7" right="0.7" top="0.75" bottom="0.75" header="0.3" footer="0.3"/>
  <pageSetup orientation="portrait" horizontalDpi="300" verticalDpi="300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38515B5E-F41E-47EC-ABF1-8AFF0436B8CD}">
          <x14:formula1>
            <xm:f>EFs!$B$26:$B$33</xm:f>
          </x14:formula1>
          <xm:sqref>X47 D24 S24 N24 I47 N47 X24 D47 S47 I24</xm:sqref>
        </x14:dataValidation>
        <x14:dataValidation type="list" allowBlank="1" showInputMessage="1" showErrorMessage="1" xr:uid="{48F06D15-6259-4AE5-862B-8DC1BC978119}">
          <x14:formula1>
            <xm:f>EFs!$B$34:$B$36</xm:f>
          </x14:formula1>
          <xm:sqref>D21 S21 N21 I44 X44 N44 X21 D44 S44 I21</xm:sqref>
        </x14:dataValidation>
        <x14:dataValidation type="list" allowBlank="1" showInputMessage="1" showErrorMessage="1" xr:uid="{0C85E485-0CEA-4C73-B596-2B4315EFC9AA}">
          <x14:formula1>
            <xm:f>EFs!$B$18:$B$19</xm:f>
          </x14:formula1>
          <xm:sqref>D22 S22 N22 I45 X45 N45 X22 D45 S45 I22</xm:sqref>
        </x14:dataValidation>
        <x14:dataValidation type="list" allowBlank="1" showInputMessage="1" showErrorMessage="1" xr:uid="{D2985DD7-CECE-4E42-99E8-E3CDEA02E21D}">
          <x14:formula1>
            <xm:f>EFs!$B$20:$B$21</xm:f>
          </x14:formula1>
          <xm:sqref>D23 S23 N23 I46 X46 N46 X23 D46 S46 I23</xm:sqref>
        </x14:dataValidation>
        <x14:dataValidation type="list" allowBlank="1" showInputMessage="1" showErrorMessage="1" xr:uid="{68B8F543-E965-42D9-91DA-59AFFDB31882}">
          <x14:formula1>
            <xm:f>EFs!$B$37:$B$38</xm:f>
          </x14:formula1>
          <xm:sqref>D20 S20 N20 I43 X43 N43 X20 D43 S43 I20</xm:sqref>
        </x14:dataValidation>
        <x14:dataValidation type="list" allowBlank="1" showInputMessage="1" showErrorMessage="1" xr:uid="{93D52558-8FA9-472A-85F8-55A0BBD9CA4E}">
          <x14:formula1>
            <xm:f>EFs!$B$14:$B$15</xm:f>
          </x14:formula1>
          <xm:sqref>D19 S19 N19 I42 X42 N42 X19 D42 S42 I19</xm:sqref>
        </x14:dataValidation>
        <x14:dataValidation type="list" allowBlank="1" showInputMessage="1" showErrorMessage="1" xr:uid="{EE79D09F-1B04-400E-AFF4-AE3F3D771D45}">
          <x14:formula1>
            <xm:f>EFs!$B$16:$B$17</xm:f>
          </x14:formula1>
          <xm:sqref>D18 N18 I41 X18 X41 D41 N41 S18 S41 I18</xm:sqref>
        </x14:dataValidation>
        <x14:dataValidation type="list" allowBlank="1" showInputMessage="1" showErrorMessage="1" xr:uid="{2EFE1ADE-3487-42BF-A36A-66B5B4A9B1F3}">
          <x14:formula1>
            <xm:f>EFs!$B$41:$B$45</xm:f>
          </x14:formula1>
          <xm:sqref>D25 I25 N25 S25 X25 D48 I48 N48 S48 X48</xm:sqref>
        </x14:dataValidation>
        <x14:dataValidation type="list" allowBlank="1" showInputMessage="1" showErrorMessage="1" xr:uid="{D5F6CBF7-26DF-459E-A8C6-DA0FA6D338A1}">
          <x14:formula1>
            <xm:f>EFs!$B$39:$B$40</xm:f>
          </x14:formula1>
          <xm:sqref>D26 I26 N26 S26 X26 D49 I49 N49 S49 X49</xm:sqref>
        </x14:dataValidation>
        <x14:dataValidation type="list" allowBlank="1" showInputMessage="1" showErrorMessage="1" xr:uid="{90133ECD-1C47-4B18-AD3D-14F75343CD65}">
          <x14:formula1>
            <xm:f>EFs!$B$46:$B$48</xm:f>
          </x14:formula1>
          <xm:sqref>D27 I27 N27 S27 X27 D50 I50 N50 S50 X50</xm:sqref>
        </x14:dataValidation>
        <x14:dataValidation type="list" allowBlank="1" showInputMessage="1" showErrorMessage="1" xr:uid="{92D669AD-1555-4502-865E-08C5C33624CC}">
          <x14:formula1>
            <xm:f>EFs!$B$49:$B$50</xm:f>
          </x14:formula1>
          <xm:sqref>D28 I28 N28 S28 X28 D51 I51 N51 S51 X51</xm:sqref>
        </x14:dataValidation>
        <x14:dataValidation type="list" allowBlank="1" showInputMessage="1" showErrorMessage="1" xr:uid="{3A2A8F36-3B60-4E77-AAE8-4E7172645DCD}">
          <x14:formula1>
            <xm:f>EFs!$B$51:$B$53</xm:f>
          </x14:formula1>
          <xm:sqref>D29 I29 N29 S29 X29 D52 I52 N52 S52 X52</xm:sqref>
        </x14:dataValidation>
        <x14:dataValidation type="list" allowBlank="1" showInputMessage="1" showErrorMessage="1" xr:uid="{EABCA356-A741-48E3-9911-1494C7C13758}">
          <x14:formula1>
            <xm:f>EFs!$B$54:$B$55</xm:f>
          </x14:formula1>
          <xm:sqref>D30 I30 N30 S30 X30 D53 I53 N53 S53 X53</xm:sqref>
        </x14:dataValidation>
        <x14:dataValidation type="list" allowBlank="1" showInputMessage="1" showErrorMessage="1" xr:uid="{8127AC98-B406-499F-BFC8-ED0A6BC5F831}">
          <x14:formula1>
            <xm:f>EFs!$B$56:$B$57</xm:f>
          </x14:formula1>
          <xm:sqref>D31 D33 I31 I33 N31 N33 S31 S33 X31 X33 D54 D56 I54 I56 N54 N56 S54 S56 X54 X56</xm:sqref>
        </x14:dataValidation>
        <x14:dataValidation type="list" allowBlank="1" showInputMessage="1" showErrorMessage="1" xr:uid="{627D83C6-DBC9-4424-9061-CD3EB6AE4EC4}">
          <x14:formula1>
            <xm:f>EFs!$B$58:$B$59</xm:f>
          </x14:formula1>
          <xm:sqref>D32 I32 N32 S32 X32 D55 I55 N55 S55 X55</xm:sqref>
        </x14:dataValidation>
        <x14:dataValidation type="list" allowBlank="1" showInputMessage="1" showErrorMessage="1" xr:uid="{CF1F7C81-0D63-4195-9A12-B30B0CDD80E6}">
          <x14:formula1>
            <xm:f>EFs!$B$62:$B$63</xm:f>
          </x14:formula1>
          <xm:sqref>D34 I34 N34 S34 X34 D57 I57 N57 S57 X57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2400-E761-4458-BDFF-092636B8D7FE}">
  <sheetPr>
    <tabColor theme="7" tint="0.79998168889431442"/>
  </sheetPr>
  <dimension ref="A1:D10"/>
  <sheetViews>
    <sheetView showGridLines="0" workbookViewId="0">
      <pane ySplit="1" topLeftCell="A2" activePane="bottomLeft" state="frozen"/>
      <selection pane="bottomLeft"/>
    </sheetView>
  </sheetViews>
  <sheetFormatPr defaultRowHeight="14" x14ac:dyDescent="0.3"/>
  <cols>
    <col min="2" max="2" width="28" bestFit="1" customWidth="1"/>
    <col min="3" max="3" width="39.59765625" bestFit="1" customWidth="1"/>
  </cols>
  <sheetData>
    <row r="1" spans="1:4" s="2" customFormat="1" ht="27" x14ac:dyDescent="0.3">
      <c r="A1" s="1"/>
      <c r="C1" s="463" t="s">
        <v>472</v>
      </c>
      <c r="D1" s="41"/>
    </row>
    <row r="2" spans="1:4" s="3" customFormat="1" ht="14.15" x14ac:dyDescent="0.3">
      <c r="A2" s="4"/>
    </row>
    <row r="3" spans="1:4" s="462" customFormat="1" ht="15.5" x14ac:dyDescent="0.35">
      <c r="A3" s="460" t="s">
        <v>46</v>
      </c>
      <c r="B3" s="461"/>
    </row>
    <row r="4" spans="1:4" s="3" customFormat="1" ht="14.5" thickBot="1" x14ac:dyDescent="0.35">
      <c r="A4" s="4"/>
    </row>
    <row r="5" spans="1:4" s="3" customFormat="1" x14ac:dyDescent="0.3">
      <c r="B5" s="42" t="s">
        <v>9</v>
      </c>
      <c r="C5" s="484">
        <f>Instructions!B22</f>
        <v>0</v>
      </c>
    </row>
    <row r="6" spans="1:4" s="3" customFormat="1" x14ac:dyDescent="0.3">
      <c r="B6" s="125" t="s">
        <v>10</v>
      </c>
      <c r="C6" s="485">
        <f>Instructions!C22</f>
        <v>0</v>
      </c>
    </row>
    <row r="7" spans="1:4" s="3" customFormat="1" x14ac:dyDescent="0.3">
      <c r="B7" s="43" t="s">
        <v>17</v>
      </c>
      <c r="C7" s="486">
        <v>2019</v>
      </c>
    </row>
    <row r="8" spans="1:4" s="3" customFormat="1" ht="14.5" thickBot="1" x14ac:dyDescent="0.35">
      <c r="B8" s="44" t="s">
        <v>18</v>
      </c>
      <c r="C8" s="487">
        <f>'1. Emissions Forecast'!C10</f>
        <v>2023</v>
      </c>
    </row>
    <row r="9" spans="1:4" s="3" customFormat="1" x14ac:dyDescent="0.3"/>
    <row r="10" spans="1:4" s="457" customFormat="1" ht="15.5" x14ac:dyDescent="0.35">
      <c r="A10" s="455" t="s">
        <v>101</v>
      </c>
      <c r="B10" s="45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85AE-EC1C-4182-B3BB-0A15E9795FD0}">
  <sheetPr>
    <tabColor theme="8"/>
  </sheetPr>
  <dimension ref="A1:AB93"/>
  <sheetViews>
    <sheetView showGridLines="0" zoomScaleNormal="100" workbookViewId="0">
      <selection activeCell="C62" sqref="C62"/>
    </sheetView>
  </sheetViews>
  <sheetFormatPr defaultRowHeight="14" x14ac:dyDescent="0.3"/>
  <cols>
    <col min="1" max="1" width="3.09765625" customWidth="1"/>
    <col min="2" max="2" width="20.3984375" bestFit="1" customWidth="1"/>
    <col min="3" max="3" width="32.59765625" bestFit="1" customWidth="1"/>
    <col min="4" max="4" width="13.5" bestFit="1" customWidth="1"/>
    <col min="5" max="5" width="21.5" bestFit="1" customWidth="1"/>
    <col min="6" max="6" width="27.19921875" bestFit="1" customWidth="1"/>
    <col min="7" max="7" width="11.59765625" bestFit="1" customWidth="1"/>
    <col min="8" max="8" width="16.69921875" bestFit="1" customWidth="1"/>
    <col min="9" max="9" width="11.59765625" bestFit="1" customWidth="1"/>
    <col min="10" max="10" width="13.8984375" bestFit="1" customWidth="1"/>
    <col min="11" max="11" width="26" bestFit="1" customWidth="1"/>
    <col min="12" max="12" width="11.5" bestFit="1" customWidth="1"/>
    <col min="13" max="13" width="18.09765625" bestFit="1" customWidth="1"/>
    <col min="14" max="14" width="11.09765625" bestFit="1" customWidth="1"/>
    <col min="15" max="15" width="12.296875" bestFit="1" customWidth="1"/>
    <col min="16" max="16" width="22" bestFit="1" customWidth="1"/>
    <col min="17" max="17" width="21.19921875" bestFit="1" customWidth="1"/>
    <col min="18" max="18" width="21.59765625" bestFit="1" customWidth="1"/>
    <col min="19" max="19" width="16.8984375" bestFit="1" customWidth="1"/>
    <col min="20" max="20" width="19.69921875" bestFit="1" customWidth="1"/>
    <col min="21" max="21" width="16.8984375" bestFit="1" customWidth="1"/>
    <col min="22" max="22" width="18.3984375" bestFit="1" customWidth="1"/>
    <col min="23" max="24" width="14.69921875" customWidth="1"/>
    <col min="25" max="25" width="8.69921875" bestFit="1" customWidth="1"/>
    <col min="26" max="26" width="20.3984375" bestFit="1" customWidth="1"/>
    <col min="27" max="28" width="10.296875" bestFit="1" customWidth="1"/>
    <col min="29" max="29" width="19.69921875" bestFit="1" customWidth="1"/>
    <col min="30" max="30" width="16" bestFit="1" customWidth="1"/>
    <col min="31" max="31" width="15.09765625" bestFit="1" customWidth="1"/>
    <col min="32" max="32" width="12" bestFit="1" customWidth="1"/>
    <col min="33" max="33" width="19.8984375" bestFit="1" customWidth="1"/>
    <col min="34" max="34" width="16.59765625" bestFit="1" customWidth="1"/>
    <col min="35" max="35" width="9.3984375" bestFit="1" customWidth="1"/>
    <col min="36" max="36" width="30.59765625" bestFit="1" customWidth="1"/>
    <col min="37" max="37" width="19.296875" bestFit="1" customWidth="1"/>
    <col min="38" max="38" width="9.296875" bestFit="1" customWidth="1"/>
    <col min="39" max="39" width="11.09765625" bestFit="1" customWidth="1"/>
    <col min="40" max="40" width="14.59765625" bestFit="1" customWidth="1"/>
    <col min="41" max="41" width="11.296875" bestFit="1" customWidth="1"/>
    <col min="42" max="42" width="26.09765625" bestFit="1" customWidth="1"/>
    <col min="43" max="43" width="16.59765625" bestFit="1" customWidth="1"/>
    <col min="44" max="44" width="12" bestFit="1" customWidth="1"/>
    <col min="45" max="45" width="30.59765625" bestFit="1" customWidth="1"/>
    <col min="46" max="46" width="19.296875" bestFit="1" customWidth="1"/>
    <col min="47" max="48" width="12" bestFit="1" customWidth="1"/>
    <col min="49" max="49" width="14.59765625" bestFit="1" customWidth="1"/>
    <col min="50" max="50" width="12" bestFit="1" customWidth="1"/>
    <col min="51" max="51" width="12.69921875" bestFit="1" customWidth="1"/>
    <col min="52" max="52" width="11.296875" bestFit="1" customWidth="1"/>
  </cols>
  <sheetData>
    <row r="1" spans="1:28" s="2" customFormat="1" ht="50.25" customHeight="1" x14ac:dyDescent="0.3">
      <c r="B1" s="1"/>
      <c r="C1" s="497" t="s">
        <v>111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8" s="122" customFormat="1" x14ac:dyDescent="0.3">
      <c r="A3" s="5" t="s">
        <v>111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5" spans="1:28" x14ac:dyDescent="0.3">
      <c r="B5" t="s">
        <v>61</v>
      </c>
      <c r="C5" t="s">
        <v>65</v>
      </c>
      <c r="D5" t="s">
        <v>75</v>
      </c>
      <c r="E5" t="s">
        <v>67</v>
      </c>
      <c r="F5" t="s">
        <v>77</v>
      </c>
      <c r="G5" t="s">
        <v>73</v>
      </c>
      <c r="H5" t="s">
        <v>74</v>
      </c>
      <c r="I5" t="s">
        <v>71</v>
      </c>
      <c r="J5" t="s">
        <v>69</v>
      </c>
      <c r="K5" t="s">
        <v>78</v>
      </c>
      <c r="L5" t="s">
        <v>79</v>
      </c>
      <c r="M5" t="s">
        <v>81</v>
      </c>
      <c r="N5" t="s">
        <v>82</v>
      </c>
      <c r="O5" t="s">
        <v>83</v>
      </c>
      <c r="P5" t="s">
        <v>84</v>
      </c>
      <c r="Q5" t="s">
        <v>85</v>
      </c>
      <c r="R5" t="s">
        <v>86</v>
      </c>
      <c r="S5" t="s">
        <v>87</v>
      </c>
      <c r="T5" t="s">
        <v>88</v>
      </c>
      <c r="U5" t="s">
        <v>90</v>
      </c>
      <c r="V5" t="s">
        <v>91</v>
      </c>
      <c r="Z5" t="s">
        <v>61</v>
      </c>
      <c r="AA5" t="s">
        <v>112</v>
      </c>
      <c r="AB5" t="s">
        <v>113</v>
      </c>
    </row>
    <row r="6" spans="1:28" x14ac:dyDescent="0.3">
      <c r="B6" t="s">
        <v>110</v>
      </c>
      <c r="C6">
        <v>0</v>
      </c>
      <c r="D6" s="123">
        <v>0</v>
      </c>
      <c r="E6" s="123">
        <v>0</v>
      </c>
      <c r="F6">
        <v>0</v>
      </c>
      <c r="G6" s="123">
        <v>0</v>
      </c>
      <c r="H6" s="123">
        <v>0</v>
      </c>
      <c r="I6" s="123">
        <v>0</v>
      </c>
      <c r="J6" s="123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 s="123"/>
      <c r="X6" s="123"/>
      <c r="Z6" t="s">
        <v>110</v>
      </c>
      <c r="AA6" s="123">
        <v>0</v>
      </c>
      <c r="AB6" s="123">
        <v>0</v>
      </c>
    </row>
    <row r="7" spans="1:28" x14ac:dyDescent="0.3">
      <c r="B7" t="s">
        <v>52</v>
      </c>
      <c r="C7">
        <v>0</v>
      </c>
      <c r="D7" s="123">
        <v>0</v>
      </c>
      <c r="E7" s="123">
        <v>0</v>
      </c>
      <c r="F7">
        <v>0</v>
      </c>
      <c r="G7" s="123">
        <v>0</v>
      </c>
      <c r="H7" s="123">
        <v>0</v>
      </c>
      <c r="I7" s="123">
        <v>0</v>
      </c>
      <c r="J7" s="123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 s="123"/>
      <c r="X7" s="123"/>
      <c r="Z7" t="s">
        <v>52</v>
      </c>
      <c r="AA7" s="123">
        <v>0</v>
      </c>
      <c r="AB7" s="123">
        <v>0</v>
      </c>
    </row>
    <row r="8" spans="1:28" x14ac:dyDescent="0.3">
      <c r="B8" t="s">
        <v>100</v>
      </c>
      <c r="C8">
        <v>0</v>
      </c>
      <c r="D8" s="123">
        <v>0</v>
      </c>
      <c r="E8" s="123">
        <v>0</v>
      </c>
      <c r="F8">
        <v>0</v>
      </c>
      <c r="G8" s="123">
        <v>0</v>
      </c>
      <c r="H8" s="123">
        <v>0</v>
      </c>
      <c r="I8" s="123">
        <v>0</v>
      </c>
      <c r="J8" s="123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 s="123"/>
      <c r="X8" s="123"/>
      <c r="Z8" t="s">
        <v>100</v>
      </c>
      <c r="AA8" s="123">
        <v>0</v>
      </c>
      <c r="AB8" s="123">
        <v>0</v>
      </c>
    </row>
    <row r="9" spans="1:28" x14ac:dyDescent="0.3">
      <c r="B9" t="s">
        <v>54</v>
      </c>
      <c r="C9">
        <v>0</v>
      </c>
      <c r="D9" s="123">
        <v>0</v>
      </c>
      <c r="E9" s="123">
        <v>0</v>
      </c>
      <c r="F9">
        <v>0</v>
      </c>
      <c r="G9" s="123">
        <v>0</v>
      </c>
      <c r="H9" s="123">
        <v>0</v>
      </c>
      <c r="I9" s="123">
        <v>0</v>
      </c>
      <c r="J9" s="123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 s="123"/>
      <c r="X9" s="123"/>
      <c r="Z9" t="s">
        <v>54</v>
      </c>
      <c r="AA9" s="123">
        <v>0</v>
      </c>
      <c r="AB9" s="123">
        <v>0</v>
      </c>
    </row>
    <row r="10" spans="1:28" x14ac:dyDescent="0.3">
      <c r="B10" t="s">
        <v>56</v>
      </c>
      <c r="C10">
        <v>0</v>
      </c>
      <c r="D10" s="123">
        <v>0</v>
      </c>
      <c r="E10" s="123">
        <v>0</v>
      </c>
      <c r="F10">
        <v>0</v>
      </c>
      <c r="G10" s="123">
        <v>0</v>
      </c>
      <c r="H10" s="123">
        <v>0</v>
      </c>
      <c r="I10" s="123">
        <v>0</v>
      </c>
      <c r="J10" s="123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 s="123"/>
      <c r="X10" s="123"/>
      <c r="Z10" t="s">
        <v>56</v>
      </c>
      <c r="AA10" s="123">
        <v>0</v>
      </c>
      <c r="AB10" s="123">
        <v>0</v>
      </c>
    </row>
    <row r="11" spans="1:28" x14ac:dyDescent="0.3">
      <c r="B11" t="s">
        <v>58</v>
      </c>
      <c r="C11">
        <v>0</v>
      </c>
      <c r="D11" s="123">
        <v>0</v>
      </c>
      <c r="E11" s="123">
        <v>0</v>
      </c>
      <c r="F11">
        <v>0</v>
      </c>
      <c r="G11" s="123">
        <v>0</v>
      </c>
      <c r="H11" s="123">
        <v>0</v>
      </c>
      <c r="I11" s="123">
        <v>0</v>
      </c>
      <c r="J11" s="123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 s="123"/>
      <c r="X11" s="123"/>
      <c r="Z11" t="s">
        <v>58</v>
      </c>
      <c r="AA11" s="123">
        <v>0</v>
      </c>
      <c r="AB11" s="123">
        <v>0</v>
      </c>
    </row>
    <row r="12" spans="1:28" x14ac:dyDescent="0.3">
      <c r="B12" t="s">
        <v>60</v>
      </c>
      <c r="C12">
        <v>0</v>
      </c>
      <c r="D12" s="123">
        <v>0</v>
      </c>
      <c r="E12" s="123">
        <v>0</v>
      </c>
      <c r="F12">
        <v>0</v>
      </c>
      <c r="G12" s="123">
        <v>0</v>
      </c>
      <c r="H12" s="123">
        <v>0</v>
      </c>
      <c r="I12" s="123">
        <v>0</v>
      </c>
      <c r="J12" s="123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 s="123"/>
      <c r="X12" s="123"/>
      <c r="Z12" t="s">
        <v>60</v>
      </c>
      <c r="AA12" s="123">
        <v>0</v>
      </c>
      <c r="AB12" s="123">
        <v>0</v>
      </c>
    </row>
    <row r="13" spans="1:28" x14ac:dyDescent="0.3">
      <c r="B13" t="s">
        <v>479</v>
      </c>
      <c r="C13">
        <v>0</v>
      </c>
      <c r="D13" s="123">
        <v>0</v>
      </c>
      <c r="E13" s="123">
        <v>0</v>
      </c>
      <c r="F13">
        <v>0</v>
      </c>
      <c r="G13" s="123">
        <v>0</v>
      </c>
      <c r="H13" s="123">
        <v>0</v>
      </c>
      <c r="I13" s="123">
        <v>0</v>
      </c>
      <c r="J13" s="12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 s="123"/>
      <c r="X13" s="123"/>
      <c r="Z13" t="s">
        <v>479</v>
      </c>
      <c r="AA13" s="123">
        <v>0</v>
      </c>
      <c r="AB13" s="123">
        <v>0</v>
      </c>
    </row>
    <row r="14" spans="1:28" x14ac:dyDescent="0.3">
      <c r="B14" t="s">
        <v>94</v>
      </c>
      <c r="C14">
        <v>0</v>
      </c>
      <c r="D14" s="123">
        <v>0</v>
      </c>
      <c r="E14" s="123">
        <v>0</v>
      </c>
      <c r="F14">
        <v>0</v>
      </c>
      <c r="G14" s="123">
        <v>0</v>
      </c>
      <c r="H14" s="123">
        <v>0</v>
      </c>
      <c r="I14" s="123">
        <v>0</v>
      </c>
      <c r="J14" s="123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 s="123"/>
      <c r="X14" s="123"/>
      <c r="Z14" t="s">
        <v>94</v>
      </c>
      <c r="AA14" s="123">
        <v>0</v>
      </c>
      <c r="AB14" s="123">
        <v>0</v>
      </c>
    </row>
    <row r="15" spans="1:28" x14ac:dyDescent="0.3">
      <c r="B15" t="s">
        <v>96</v>
      </c>
      <c r="C15">
        <v>0</v>
      </c>
      <c r="D15" s="123">
        <v>0</v>
      </c>
      <c r="E15" s="123">
        <v>0</v>
      </c>
      <c r="F15">
        <v>0</v>
      </c>
      <c r="G15" s="123">
        <v>0</v>
      </c>
      <c r="H15" s="123">
        <v>0</v>
      </c>
      <c r="I15" s="123">
        <v>0</v>
      </c>
      <c r="J15" s="123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 s="123"/>
      <c r="X15" s="123"/>
      <c r="Z15" t="s">
        <v>96</v>
      </c>
      <c r="AA15" s="123">
        <v>0</v>
      </c>
      <c r="AB15" s="123">
        <v>0</v>
      </c>
    </row>
    <row r="16" spans="1:28" x14ac:dyDescent="0.3">
      <c r="B16" t="s">
        <v>98</v>
      </c>
      <c r="C16">
        <v>0</v>
      </c>
      <c r="D16" s="123">
        <v>0</v>
      </c>
      <c r="E16" s="123">
        <v>0</v>
      </c>
      <c r="F16">
        <v>0</v>
      </c>
      <c r="G16" s="123">
        <v>0</v>
      </c>
      <c r="H16" s="123">
        <v>0</v>
      </c>
      <c r="I16" s="123">
        <v>0</v>
      </c>
      <c r="J16" s="123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 s="123"/>
      <c r="X16" s="123"/>
      <c r="Z16" t="s">
        <v>98</v>
      </c>
      <c r="AA16" s="123">
        <v>0</v>
      </c>
      <c r="AB16" s="123">
        <v>0</v>
      </c>
    </row>
    <row r="58" spans="1:24" s="122" customFormat="1" x14ac:dyDescent="0.3">
      <c r="A58" s="5" t="s">
        <v>471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4.5" thickBot="1" x14ac:dyDescent="0.35"/>
    <row r="60" spans="1:24" ht="14.5" thickBot="1" x14ac:dyDescent="0.35">
      <c r="B60" s="556" t="s">
        <v>22</v>
      </c>
      <c r="C60" s="557"/>
    </row>
    <row r="61" spans="1:24" ht="14.5" thickBot="1" x14ac:dyDescent="0.35">
      <c r="B61" s="306" t="s">
        <v>107</v>
      </c>
      <c r="C61" s="307">
        <f>'1. Emissions Forecast'!C19/1000-C62</f>
        <v>0</v>
      </c>
    </row>
    <row r="62" spans="1:24" ht="14.5" thickBot="1" x14ac:dyDescent="0.35">
      <c r="B62" s="308" t="s">
        <v>108</v>
      </c>
      <c r="C62" s="309">
        <f>SUMIF(Site_Activity_Data_By_Scope[Site Name],"Overall Enterprise Level",Site_Activity_Data_By_Scope[Scope 2])</f>
        <v>0</v>
      </c>
    </row>
    <row r="63" spans="1:24" ht="14.5" thickBot="1" x14ac:dyDescent="0.35"/>
    <row r="64" spans="1:24" ht="14.5" thickBot="1" x14ac:dyDescent="0.35">
      <c r="B64" s="558" t="s">
        <v>24</v>
      </c>
      <c r="C64" s="559"/>
    </row>
    <row r="65" spans="2:5" x14ac:dyDescent="0.3">
      <c r="B65" s="310" t="s">
        <v>25</v>
      </c>
      <c r="C65" s="311">
        <f>'2. Facility Emissions'!C8</f>
        <v>2023</v>
      </c>
    </row>
    <row r="66" spans="2:5" x14ac:dyDescent="0.3">
      <c r="B66" s="312" t="s">
        <v>107</v>
      </c>
      <c r="C66" s="313">
        <f>'1. Emissions Forecast'!C23/1000-C67</f>
        <v>0</v>
      </c>
    </row>
    <row r="67" spans="2:5" ht="14.5" thickBot="1" x14ac:dyDescent="0.35">
      <c r="B67" s="314" t="s">
        <v>108</v>
      </c>
      <c r="C67" s="309">
        <f>'Facility Emissions'!C62</f>
        <v>0</v>
      </c>
    </row>
    <row r="69" spans="2:5" ht="14.5" thickBot="1" x14ac:dyDescent="0.35"/>
    <row r="70" spans="2:5" ht="14.5" thickBot="1" x14ac:dyDescent="0.35">
      <c r="B70" s="304" t="s">
        <v>109</v>
      </c>
      <c r="C70" s="305">
        <f>'2. Facility Emissions'!C8</f>
        <v>2023</v>
      </c>
    </row>
    <row r="71" spans="2:5" ht="14.5" thickBot="1" x14ac:dyDescent="0.35"/>
    <row r="72" spans="2:5" ht="14.5" thickBot="1" x14ac:dyDescent="0.35">
      <c r="B72" s="560" t="s">
        <v>110</v>
      </c>
      <c r="C72" s="561"/>
      <c r="D72" s="561"/>
      <c r="E72" s="562"/>
    </row>
    <row r="73" spans="2:5" x14ac:dyDescent="0.3">
      <c r="B73" s="300" t="s">
        <v>61</v>
      </c>
      <c r="C73" s="26" t="s">
        <v>62</v>
      </c>
      <c r="D73" s="26" t="s">
        <v>63</v>
      </c>
      <c r="E73" s="301" t="s">
        <v>64</v>
      </c>
    </row>
    <row r="74" spans="2:5" x14ac:dyDescent="0.3">
      <c r="B74" s="292" t="str">
        <f t="shared" ref="B74:B93" si="0">$B$72</f>
        <v>Overall Enterprise Level</v>
      </c>
      <c r="C74" s="27" t="s">
        <v>65</v>
      </c>
      <c r="D74" s="25" t="s">
        <v>66</v>
      </c>
      <c r="E74" s="302">
        <f>SUM('2. Facility Emissions'!E18+'2. Facility Emissions'!J18+'2. Facility Emissions'!O18+'2. Facility Emissions'!T18+'2. Facility Emissions'!Y18+'2. Facility Emissions'!E41+'2. Facility Emissions'!J41+'2. Facility Emissions'!O41+'2. Facility Emissions'!T41+'2. Facility Emissions'!Y41)</f>
        <v>0</v>
      </c>
    </row>
    <row r="75" spans="2:5" x14ac:dyDescent="0.3">
      <c r="B75" s="292" t="str">
        <f t="shared" si="0"/>
        <v>Overall Enterprise Level</v>
      </c>
      <c r="C75" s="27" t="s">
        <v>67</v>
      </c>
      <c r="D75" s="25" t="s">
        <v>66</v>
      </c>
      <c r="E75" s="302">
        <f>SUM('2. Facility Emissions'!E19+'2. Facility Emissions'!J19+'2. Facility Emissions'!O19+'2. Facility Emissions'!T19+'2. Facility Emissions'!Y19+'2. Facility Emissions'!E42+'2. Facility Emissions'!J42+'2. Facility Emissions'!O42+'2. Facility Emissions'!T42+'2. Facility Emissions'!Y42)</f>
        <v>0</v>
      </c>
    </row>
    <row r="76" spans="2:5" x14ac:dyDescent="0.3">
      <c r="B76" s="292" t="str">
        <f t="shared" si="0"/>
        <v>Overall Enterprise Level</v>
      </c>
      <c r="C76" s="27" t="s">
        <v>69</v>
      </c>
      <c r="D76" s="25" t="s">
        <v>70</v>
      </c>
      <c r="E76" s="302">
        <f>SUM('2. Facility Emissions'!E20+'2. Facility Emissions'!J20+'2. Facility Emissions'!O20+'2. Facility Emissions'!T20+'2. Facility Emissions'!Y20+'2. Facility Emissions'!E43+'2. Facility Emissions'!J43+'2. Facility Emissions'!O43+'2. Facility Emissions'!T43+'2. Facility Emissions'!Y43)</f>
        <v>0</v>
      </c>
    </row>
    <row r="77" spans="2:5" x14ac:dyDescent="0.3">
      <c r="B77" s="292" t="str">
        <f t="shared" si="0"/>
        <v>Overall Enterprise Level</v>
      </c>
      <c r="C77" s="27" t="s">
        <v>71</v>
      </c>
      <c r="D77" s="25" t="s">
        <v>72</v>
      </c>
      <c r="E77" s="302">
        <f>SUM('2. Facility Emissions'!E21+'2. Facility Emissions'!J21+'2. Facility Emissions'!O21+'2. Facility Emissions'!T21+'2. Facility Emissions'!Y21+'2. Facility Emissions'!E44+'2. Facility Emissions'!J44+'2. Facility Emissions'!O44+'2. Facility Emissions'!T44+'2. Facility Emissions'!Y44)</f>
        <v>0</v>
      </c>
    </row>
    <row r="78" spans="2:5" x14ac:dyDescent="0.3">
      <c r="B78" s="292" t="str">
        <f t="shared" si="0"/>
        <v>Overall Enterprise Level</v>
      </c>
      <c r="C78" s="27" t="s">
        <v>73</v>
      </c>
      <c r="D78" s="25" t="s">
        <v>72</v>
      </c>
      <c r="E78" s="302">
        <f>SUM('2. Facility Emissions'!E22+'2. Facility Emissions'!J22+'2. Facility Emissions'!O22+'2. Facility Emissions'!T22+'2. Facility Emissions'!Y22+'2. Facility Emissions'!E45+'2. Facility Emissions'!J45+'2. Facility Emissions'!O45+'2. Facility Emissions'!T45+'2. Facility Emissions'!Y45)</f>
        <v>0</v>
      </c>
    </row>
    <row r="79" spans="2:5" x14ac:dyDescent="0.3">
      <c r="B79" s="292" t="str">
        <f t="shared" si="0"/>
        <v>Overall Enterprise Level</v>
      </c>
      <c r="C79" s="27" t="s">
        <v>74</v>
      </c>
      <c r="D79" s="25" t="s">
        <v>72</v>
      </c>
      <c r="E79" s="302">
        <f>SUM('2. Facility Emissions'!E23+'2. Facility Emissions'!J23+'2. Facility Emissions'!O23+'2. Facility Emissions'!T23+'2. Facility Emissions'!Y23+'2. Facility Emissions'!E46+'2. Facility Emissions'!J46+'2. Facility Emissions'!O46+'2. Facility Emissions'!T46+'2. Facility Emissions'!Y46)</f>
        <v>0</v>
      </c>
    </row>
    <row r="80" spans="2:5" x14ac:dyDescent="0.3">
      <c r="B80" s="292" t="str">
        <f t="shared" si="0"/>
        <v>Overall Enterprise Level</v>
      </c>
      <c r="C80" s="27" t="s">
        <v>75</v>
      </c>
      <c r="D80" s="25" t="s">
        <v>76</v>
      </c>
      <c r="E80" s="302">
        <f>SUM('2. Facility Emissions'!E24+'2. Facility Emissions'!J24+'2. Facility Emissions'!O24+'2. Facility Emissions'!T24+'2. Facility Emissions'!Y24+'2. Facility Emissions'!E47+'2. Facility Emissions'!J47+'2. Facility Emissions'!O47+'2. Facility Emissions'!T47+'2. Facility Emissions'!Y47)</f>
        <v>0</v>
      </c>
    </row>
    <row r="81" spans="2:5" x14ac:dyDescent="0.3">
      <c r="B81" s="292" t="str">
        <f t="shared" si="0"/>
        <v>Overall Enterprise Level</v>
      </c>
      <c r="C81" s="3" t="s">
        <v>77</v>
      </c>
      <c r="D81" s="25" t="s">
        <v>72</v>
      </c>
      <c r="E81" s="302">
        <f>SUM('2. Facility Emissions'!E25+'2. Facility Emissions'!J25+'2. Facility Emissions'!O25+'2. Facility Emissions'!T25+'2. Facility Emissions'!Y25+'2. Facility Emissions'!E48+'2. Facility Emissions'!J48+'2. Facility Emissions'!O48+'2. Facility Emissions'!T48+'2. Facility Emissions'!Y48)</f>
        <v>0</v>
      </c>
    </row>
    <row r="82" spans="2:5" x14ac:dyDescent="0.3">
      <c r="B82" s="292" t="str">
        <f t="shared" si="0"/>
        <v>Overall Enterprise Level</v>
      </c>
      <c r="C82" s="3" t="s">
        <v>78</v>
      </c>
      <c r="D82" s="25" t="s">
        <v>72</v>
      </c>
      <c r="E82" s="302">
        <f>SUM('2. Facility Emissions'!E26+'2. Facility Emissions'!J26+'2. Facility Emissions'!O26+'2. Facility Emissions'!T26+'2. Facility Emissions'!Y26+'2. Facility Emissions'!E49+'2. Facility Emissions'!J49+'2. Facility Emissions'!O49+'2. Facility Emissions'!T49+'2. Facility Emissions'!Y49)</f>
        <v>0</v>
      </c>
    </row>
    <row r="83" spans="2:5" x14ac:dyDescent="0.3">
      <c r="B83" s="292" t="str">
        <f t="shared" si="0"/>
        <v>Overall Enterprise Level</v>
      </c>
      <c r="C83" s="3" t="s">
        <v>79</v>
      </c>
      <c r="D83" s="25" t="s">
        <v>80</v>
      </c>
      <c r="E83" s="302">
        <f>SUM('2. Facility Emissions'!E27+'2. Facility Emissions'!J27+'2. Facility Emissions'!O27+'2. Facility Emissions'!T27+'2. Facility Emissions'!Y27+'2. Facility Emissions'!E50+'2. Facility Emissions'!J50+'2. Facility Emissions'!O50+'2. Facility Emissions'!T50+'2. Facility Emissions'!Y50)</f>
        <v>0</v>
      </c>
    </row>
    <row r="84" spans="2:5" x14ac:dyDescent="0.3">
      <c r="B84" s="292" t="str">
        <f t="shared" si="0"/>
        <v>Overall Enterprise Level</v>
      </c>
      <c r="C84" s="3" t="s">
        <v>81</v>
      </c>
      <c r="D84" s="25" t="s">
        <v>80</v>
      </c>
      <c r="E84" s="302">
        <f>SUM('2. Facility Emissions'!E28+'2. Facility Emissions'!J28+'2. Facility Emissions'!O28+'2. Facility Emissions'!T28+'2. Facility Emissions'!Y28+'2. Facility Emissions'!E51+'2. Facility Emissions'!J51+'2. Facility Emissions'!O51+'2. Facility Emissions'!T51+'2. Facility Emissions'!Y51)</f>
        <v>0</v>
      </c>
    </row>
    <row r="85" spans="2:5" x14ac:dyDescent="0.3">
      <c r="B85" s="292" t="str">
        <f t="shared" si="0"/>
        <v>Overall Enterprise Level</v>
      </c>
      <c r="C85" s="3" t="s">
        <v>82</v>
      </c>
      <c r="D85" s="25" t="s">
        <v>72</v>
      </c>
      <c r="E85" s="302">
        <f>SUM('2. Facility Emissions'!E29+'2. Facility Emissions'!J29+'2. Facility Emissions'!O29+'2. Facility Emissions'!T29+'2. Facility Emissions'!Y29+'2. Facility Emissions'!E52+'2. Facility Emissions'!J52+'2. Facility Emissions'!O52+'2. Facility Emissions'!T52+'2. Facility Emissions'!Y52)</f>
        <v>0</v>
      </c>
    </row>
    <row r="86" spans="2:5" x14ac:dyDescent="0.3">
      <c r="B86" s="292" t="str">
        <f t="shared" si="0"/>
        <v>Overall Enterprise Level</v>
      </c>
      <c r="C86" s="3" t="s">
        <v>83</v>
      </c>
      <c r="D86" s="25" t="s">
        <v>70</v>
      </c>
      <c r="E86" s="302">
        <f>SUM('2. Facility Emissions'!E30+'2. Facility Emissions'!J30+'2. Facility Emissions'!O30+'2. Facility Emissions'!T30+'2. Facility Emissions'!Y30+'2. Facility Emissions'!E53+'2. Facility Emissions'!J53+'2. Facility Emissions'!O53+'2. Facility Emissions'!T53+'2. Facility Emissions'!Y53)</f>
        <v>0</v>
      </c>
    </row>
    <row r="87" spans="2:5" x14ac:dyDescent="0.3">
      <c r="B87" s="292" t="str">
        <f t="shared" si="0"/>
        <v>Overall Enterprise Level</v>
      </c>
      <c r="C87" s="3" t="s">
        <v>84</v>
      </c>
      <c r="D87" s="25" t="s">
        <v>70</v>
      </c>
      <c r="E87" s="302">
        <f>SUM('2. Facility Emissions'!E31+'2. Facility Emissions'!J31+'2. Facility Emissions'!O31+'2. Facility Emissions'!T31+'2. Facility Emissions'!Y31+'2. Facility Emissions'!E54+'2. Facility Emissions'!J54+'2. Facility Emissions'!O54+'2. Facility Emissions'!T54+'2. Facility Emissions'!Y54)</f>
        <v>0</v>
      </c>
    </row>
    <row r="88" spans="2:5" x14ac:dyDescent="0.3">
      <c r="B88" s="292" t="str">
        <f t="shared" si="0"/>
        <v>Overall Enterprise Level</v>
      </c>
      <c r="C88" s="3" t="s">
        <v>85</v>
      </c>
      <c r="D88" s="25" t="s">
        <v>70</v>
      </c>
      <c r="E88" s="302">
        <f>SUM('2. Facility Emissions'!E32+'2. Facility Emissions'!J32+'2. Facility Emissions'!O32+'2. Facility Emissions'!T32+'2. Facility Emissions'!Y32+'2. Facility Emissions'!E55+'2. Facility Emissions'!J55+'2. Facility Emissions'!O55+'2. Facility Emissions'!T55+'2. Facility Emissions'!Y55)</f>
        <v>0</v>
      </c>
    </row>
    <row r="89" spans="2:5" x14ac:dyDescent="0.3">
      <c r="B89" s="292" t="str">
        <f t="shared" si="0"/>
        <v>Overall Enterprise Level</v>
      </c>
      <c r="C89" s="3" t="s">
        <v>86</v>
      </c>
      <c r="D89" s="25" t="s">
        <v>70</v>
      </c>
      <c r="E89" s="302">
        <f>SUM('2. Facility Emissions'!E33+'2. Facility Emissions'!J33+'2. Facility Emissions'!O33+'2. Facility Emissions'!T33+'2. Facility Emissions'!Y33+'2. Facility Emissions'!E56+'2. Facility Emissions'!J56+'2. Facility Emissions'!O56+'2. Facility Emissions'!T56+'2. Facility Emissions'!Y56)</f>
        <v>0</v>
      </c>
    </row>
    <row r="90" spans="2:5" x14ac:dyDescent="0.3">
      <c r="B90" s="292" t="str">
        <f t="shared" si="0"/>
        <v>Overall Enterprise Level</v>
      </c>
      <c r="C90" s="3" t="s">
        <v>87</v>
      </c>
      <c r="D90" s="25" t="s">
        <v>80</v>
      </c>
      <c r="E90" s="302">
        <f>SUM('2. Facility Emissions'!E34+'2. Facility Emissions'!J34+'2. Facility Emissions'!O34+'2. Facility Emissions'!T34+'2. Facility Emissions'!Y34+'2. Facility Emissions'!E57+'2. Facility Emissions'!J57+'2. Facility Emissions'!O57+'2. Facility Emissions'!T57+'2. Facility Emissions'!Y57)</f>
        <v>0</v>
      </c>
    </row>
    <row r="91" spans="2:5" x14ac:dyDescent="0.3">
      <c r="B91" s="292" t="str">
        <f t="shared" si="0"/>
        <v>Overall Enterprise Level</v>
      </c>
      <c r="C91" s="145" t="s">
        <v>88</v>
      </c>
      <c r="D91" s="145" t="s">
        <v>89</v>
      </c>
      <c r="E91" s="302">
        <f>SUM('2. Facility Emissions'!E35+'2. Facility Emissions'!J35+'2. Facility Emissions'!O35+'2. Facility Emissions'!T35+'2. Facility Emissions'!Y35+'2. Facility Emissions'!E58+'2. Facility Emissions'!J58+'2. Facility Emissions'!O58+'2. Facility Emissions'!T58+'2. Facility Emissions'!Y58)</f>
        <v>0</v>
      </c>
    </row>
    <row r="92" spans="2:5" x14ac:dyDescent="0.3">
      <c r="B92" s="292" t="str">
        <f t="shared" si="0"/>
        <v>Overall Enterprise Level</v>
      </c>
      <c r="C92" s="145" t="s">
        <v>90</v>
      </c>
      <c r="D92" s="145" t="s">
        <v>89</v>
      </c>
      <c r="E92" s="302">
        <f>SUM('2. Facility Emissions'!E36+'2. Facility Emissions'!J36+'2. Facility Emissions'!O36+'2. Facility Emissions'!T36+'2. Facility Emissions'!Y36+'2. Facility Emissions'!E59+'2. Facility Emissions'!J59+'2. Facility Emissions'!O59+'2. Facility Emissions'!T59+'2. Facility Emissions'!Y59)</f>
        <v>0</v>
      </c>
    </row>
    <row r="93" spans="2:5" ht="14.5" thickBot="1" x14ac:dyDescent="0.35">
      <c r="B93" s="293" t="str">
        <f t="shared" si="0"/>
        <v>Overall Enterprise Level</v>
      </c>
      <c r="C93" s="303" t="s">
        <v>91</v>
      </c>
      <c r="D93" s="303" t="s">
        <v>89</v>
      </c>
      <c r="E93" s="316">
        <f>SUM('2. Facility Emissions'!E37+'2. Facility Emissions'!J37+'2. Facility Emissions'!O37+'2. Facility Emissions'!T37+'2. Facility Emissions'!Y37+'2. Facility Emissions'!E60+'2. Facility Emissions'!J60+'2. Facility Emissions'!O60+'2. Facility Emissions'!T60+'2. Facility Emissions'!Y60)</f>
        <v>0</v>
      </c>
    </row>
  </sheetData>
  <mergeCells count="3">
    <mergeCell ref="B60:C60"/>
    <mergeCell ref="B64:C64"/>
    <mergeCell ref="B72:E72"/>
  </mergeCells>
  <phoneticPr fontId="10" type="noConversion"/>
  <pageMargins left="0.7" right="0.7" top="0.75" bottom="0.75" header="0.3" footer="0.3"/>
  <drawing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38515B5E-F41E-47EC-ABF1-8AFF0436B8CD}">
          <x14:formula1>
            <xm:f>EFs!$B$26:$B$33</xm:f>
          </x14:formula1>
          <xm:sqref>D80</xm:sqref>
        </x14:dataValidation>
        <x14:dataValidation type="list" allowBlank="1" showInputMessage="1" showErrorMessage="1" xr:uid="{48F06D15-6259-4AE5-862B-8DC1BC978119}">
          <x14:formula1>
            <xm:f>EFs!$B$34:$B$36</xm:f>
          </x14:formula1>
          <xm:sqref>D77</xm:sqref>
        </x14:dataValidation>
        <x14:dataValidation type="list" allowBlank="1" showInputMessage="1" showErrorMessage="1" xr:uid="{0C85E485-0CEA-4C73-B596-2B4315EFC9AA}">
          <x14:formula1>
            <xm:f>EFs!$B$18:$B$19</xm:f>
          </x14:formula1>
          <xm:sqref>D78</xm:sqref>
        </x14:dataValidation>
        <x14:dataValidation type="list" allowBlank="1" showInputMessage="1" showErrorMessage="1" xr:uid="{D2985DD7-CECE-4E42-99E8-E3CDEA02E21D}">
          <x14:formula1>
            <xm:f>EFs!$B$20:$B$21</xm:f>
          </x14:formula1>
          <xm:sqref>D79</xm:sqref>
        </x14:dataValidation>
        <x14:dataValidation type="list" allowBlank="1" showInputMessage="1" showErrorMessage="1" xr:uid="{68B8F543-E965-42D9-91DA-59AFFDB31882}">
          <x14:formula1>
            <xm:f>EFs!$B$37:$B$38</xm:f>
          </x14:formula1>
          <xm:sqref>D76</xm:sqref>
        </x14:dataValidation>
        <x14:dataValidation type="list" allowBlank="1" showInputMessage="1" showErrorMessage="1" xr:uid="{93D52558-8FA9-472A-85F8-55A0BBD9CA4E}">
          <x14:formula1>
            <xm:f>EFs!$B$14:$B$15</xm:f>
          </x14:formula1>
          <xm:sqref>D75</xm:sqref>
        </x14:dataValidation>
        <x14:dataValidation type="list" allowBlank="1" showInputMessage="1" showErrorMessage="1" xr:uid="{EE79D09F-1B04-400E-AFF4-AE3F3D771D45}">
          <x14:formula1>
            <xm:f>EFs!$B$16:$B$17</xm:f>
          </x14:formula1>
          <xm:sqref>D74</xm:sqref>
        </x14:dataValidation>
        <x14:dataValidation type="list" allowBlank="1" showInputMessage="1" showErrorMessage="1" xr:uid="{2EFE1ADE-3487-42BF-A36A-66B5B4A9B1F3}">
          <x14:formula1>
            <xm:f>EFs!$B$41:$B$45</xm:f>
          </x14:formula1>
          <xm:sqref>D81</xm:sqref>
        </x14:dataValidation>
        <x14:dataValidation type="list" allowBlank="1" showInputMessage="1" showErrorMessage="1" xr:uid="{D5F6CBF7-26DF-459E-A8C6-DA0FA6D338A1}">
          <x14:formula1>
            <xm:f>EFs!$B$39:$B$40</xm:f>
          </x14:formula1>
          <xm:sqref>D82</xm:sqref>
        </x14:dataValidation>
        <x14:dataValidation type="list" allowBlank="1" showInputMessage="1" showErrorMessage="1" xr:uid="{90133ECD-1C47-4B18-AD3D-14F75343CD65}">
          <x14:formula1>
            <xm:f>EFs!$B$46:$B$48</xm:f>
          </x14:formula1>
          <xm:sqref>D83</xm:sqref>
        </x14:dataValidation>
        <x14:dataValidation type="list" allowBlank="1" showInputMessage="1" showErrorMessage="1" xr:uid="{92D669AD-1555-4502-865E-08C5C33624CC}">
          <x14:formula1>
            <xm:f>EFs!$B$49:$B$50</xm:f>
          </x14:formula1>
          <xm:sqref>D84</xm:sqref>
        </x14:dataValidation>
        <x14:dataValidation type="list" allowBlank="1" showInputMessage="1" showErrorMessage="1" xr:uid="{3A2A8F36-3B60-4E77-AAE8-4E7172645DCD}">
          <x14:formula1>
            <xm:f>EFs!$B$51:$B$53</xm:f>
          </x14:formula1>
          <xm:sqref>D85</xm:sqref>
        </x14:dataValidation>
        <x14:dataValidation type="list" allowBlank="1" showInputMessage="1" showErrorMessage="1" xr:uid="{EABCA356-A741-48E3-9911-1494C7C13758}">
          <x14:formula1>
            <xm:f>EFs!$B$54:$B$55</xm:f>
          </x14:formula1>
          <xm:sqref>D86</xm:sqref>
        </x14:dataValidation>
        <x14:dataValidation type="list" allowBlank="1" showInputMessage="1" showErrorMessage="1" xr:uid="{8127AC98-B406-499F-BFC8-ED0A6BC5F831}">
          <x14:formula1>
            <xm:f>EFs!$B$56:$B$57</xm:f>
          </x14:formula1>
          <xm:sqref>D87 D89</xm:sqref>
        </x14:dataValidation>
        <x14:dataValidation type="list" allowBlank="1" showInputMessage="1" showErrorMessage="1" xr:uid="{627D83C6-DBC9-4424-9061-CD3EB6AE4EC4}">
          <x14:formula1>
            <xm:f>EFs!$B$58:$B$59</xm:f>
          </x14:formula1>
          <xm:sqref>D88</xm:sqref>
        </x14:dataValidation>
        <x14:dataValidation type="list" allowBlank="1" showInputMessage="1" showErrorMessage="1" xr:uid="{CF1F7C81-0D63-4195-9A12-B30B0CDD80E6}">
          <x14:formula1>
            <xm:f>EFs!$B$62:$B$63</xm:f>
          </x14:formula1>
          <xm:sqref>D90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9372-0D0E-4614-99AA-2976B01E3D5A}">
  <sheetPr>
    <tabColor theme="8"/>
  </sheetPr>
  <dimension ref="A1:AN27"/>
  <sheetViews>
    <sheetView showGridLines="0" zoomScaleNormal="100" workbookViewId="0">
      <pane ySplit="1" topLeftCell="A2" activePane="bottomLeft" state="frozen"/>
      <selection pane="bottomLeft" activeCell="C44" sqref="C44"/>
    </sheetView>
  </sheetViews>
  <sheetFormatPr defaultColWidth="10.296875" defaultRowHeight="14" x14ac:dyDescent="0.3"/>
  <cols>
    <col min="1" max="1" width="1.8984375" style="3" customWidth="1"/>
    <col min="2" max="2" width="17.8984375" style="3" customWidth="1"/>
    <col min="3" max="3" width="58.09765625" style="3" bestFit="1" customWidth="1"/>
    <col min="4" max="4" width="22.8984375" style="3" bestFit="1" customWidth="1"/>
    <col min="5" max="5" width="23.09765625" style="3" bestFit="1" customWidth="1"/>
    <col min="6" max="15" width="18.59765625" style="3" customWidth="1"/>
    <col min="16" max="35" width="13.09765625" style="3" customWidth="1"/>
    <col min="36" max="36" width="12.59765625" style="3" bestFit="1" customWidth="1"/>
    <col min="37" max="37" width="10.296875" style="3"/>
    <col min="38" max="38" width="14.8984375" style="3" bestFit="1" customWidth="1"/>
    <col min="39" max="39" width="12" style="3" bestFit="1" customWidth="1"/>
    <col min="40" max="40" width="11.3984375" style="3" bestFit="1" customWidth="1"/>
    <col min="41" max="16384" width="10.296875" style="3"/>
  </cols>
  <sheetData>
    <row r="1" spans="1:37" s="2" customFormat="1" ht="50.25" customHeight="1" x14ac:dyDescent="0.3">
      <c r="A1" s="1"/>
      <c r="C1" s="463" t="s">
        <v>114</v>
      </c>
    </row>
    <row r="3" spans="1:37" s="6" customFormat="1" x14ac:dyDescent="0.3">
      <c r="A3" s="5" t="s">
        <v>115</v>
      </c>
    </row>
    <row r="4" spans="1:37" ht="14.5" thickBot="1" x14ac:dyDescent="0.35">
      <c r="K4"/>
      <c r="L4"/>
      <c r="M4"/>
      <c r="N4"/>
      <c r="O4"/>
    </row>
    <row r="5" spans="1:37" x14ac:dyDescent="0.3">
      <c r="B5" s="565" t="s">
        <v>116</v>
      </c>
      <c r="C5" s="567" t="s">
        <v>117</v>
      </c>
      <c r="D5" s="567" t="s">
        <v>17</v>
      </c>
      <c r="E5" s="567" t="s">
        <v>118</v>
      </c>
      <c r="F5" s="567" t="s">
        <v>119</v>
      </c>
      <c r="G5" s="567" t="s">
        <v>120</v>
      </c>
      <c r="H5" s="569"/>
      <c r="I5" s="35"/>
      <c r="J5" s="35"/>
      <c r="K5" s="564"/>
      <c r="L5" s="564"/>
      <c r="M5" s="564"/>
      <c r="N5" s="564"/>
      <c r="O5"/>
    </row>
    <row r="6" spans="1:37" s="13" customFormat="1" ht="28.5" thickBot="1" x14ac:dyDescent="0.35">
      <c r="B6" s="566"/>
      <c r="C6" s="568"/>
      <c r="D6" s="568"/>
      <c r="E6" s="568"/>
      <c r="F6" s="568"/>
      <c r="G6" s="81" t="s">
        <v>121</v>
      </c>
      <c r="H6" s="82" t="s">
        <v>122</v>
      </c>
      <c r="I6" s="29"/>
      <c r="J6" s="29"/>
      <c r="K6" s="29"/>
      <c r="L6" s="29"/>
      <c r="M6" s="29"/>
      <c r="N6" s="29"/>
      <c r="O6" s="30"/>
    </row>
    <row r="7" spans="1:37" x14ac:dyDescent="0.3">
      <c r="B7" s="89" t="s">
        <v>123</v>
      </c>
      <c r="C7" s="36" t="s">
        <v>124</v>
      </c>
      <c r="D7" s="36">
        <v>2019</v>
      </c>
      <c r="E7" s="36">
        <v>2035</v>
      </c>
      <c r="F7" s="36" t="s">
        <v>125</v>
      </c>
      <c r="G7" s="37">
        <v>5.7000000000000002E-2</v>
      </c>
      <c r="H7" s="90" t="s">
        <v>125</v>
      </c>
      <c r="I7" s="33"/>
      <c r="J7" s="33"/>
      <c r="K7" s="31"/>
      <c r="L7" s="32"/>
      <c r="M7" s="33"/>
      <c r="N7" s="33"/>
      <c r="O7"/>
    </row>
    <row r="8" spans="1:37" ht="42.5" thickBot="1" x14ac:dyDescent="0.35">
      <c r="B8" s="85" t="s">
        <v>126</v>
      </c>
      <c r="C8" s="498" t="s">
        <v>127</v>
      </c>
      <c r="D8" s="86">
        <v>2019</v>
      </c>
      <c r="E8" s="86">
        <v>2035</v>
      </c>
      <c r="F8" s="86">
        <v>2050</v>
      </c>
      <c r="G8" s="87">
        <v>5.7000000000000002E-2</v>
      </c>
      <c r="H8" s="88">
        <v>2.86E-2</v>
      </c>
      <c r="I8" s="33"/>
      <c r="J8" s="33"/>
      <c r="K8" s="31"/>
      <c r="L8" s="34"/>
      <c r="M8" s="33"/>
      <c r="N8" s="33"/>
      <c r="O8"/>
    </row>
    <row r="9" spans="1:37" x14ac:dyDescent="0.3">
      <c r="K9"/>
      <c r="L9"/>
      <c r="M9"/>
      <c r="N9"/>
      <c r="O9"/>
    </row>
    <row r="10" spans="1:37" s="6" customFormat="1" x14ac:dyDescent="0.3">
      <c r="A10" s="5" t="s">
        <v>128</v>
      </c>
    </row>
    <row r="11" spans="1:37" ht="14.5" thickBot="1" x14ac:dyDescent="0.35">
      <c r="A11" s="7" t="s">
        <v>129</v>
      </c>
      <c r="D11" s="563"/>
      <c r="E11" s="563"/>
    </row>
    <row r="12" spans="1:37" s="13" customFormat="1" ht="28.5" thickBot="1" x14ac:dyDescent="0.35">
      <c r="B12" s="14" t="s">
        <v>116</v>
      </c>
      <c r="C12" s="15" t="s">
        <v>37</v>
      </c>
      <c r="D12" s="100" t="s">
        <v>121</v>
      </c>
      <c r="E12" s="100" t="s">
        <v>122</v>
      </c>
      <c r="F12" s="71">
        <v>2019</v>
      </c>
      <c r="G12" s="71">
        <v>2020</v>
      </c>
      <c r="H12" s="71">
        <v>2021</v>
      </c>
      <c r="I12" s="71">
        <v>2022</v>
      </c>
      <c r="J12" s="71">
        <v>2023</v>
      </c>
      <c r="K12" s="71">
        <v>2024</v>
      </c>
      <c r="L12" s="71">
        <v>2025</v>
      </c>
      <c r="M12" s="71">
        <v>2026</v>
      </c>
      <c r="N12" s="71">
        <v>2027</v>
      </c>
      <c r="O12" s="71">
        <v>2028</v>
      </c>
      <c r="P12" s="71">
        <v>2029</v>
      </c>
      <c r="Q12" s="72">
        <v>2030</v>
      </c>
      <c r="R12" s="71">
        <v>2031</v>
      </c>
      <c r="S12" s="71">
        <v>2032</v>
      </c>
      <c r="T12" s="71">
        <v>2033</v>
      </c>
      <c r="U12" s="71">
        <v>2034</v>
      </c>
      <c r="V12" s="72">
        <v>2035</v>
      </c>
      <c r="W12" s="71">
        <v>2036</v>
      </c>
      <c r="X12" s="71">
        <v>2037</v>
      </c>
      <c r="Y12" s="71">
        <v>2038</v>
      </c>
      <c r="Z12" s="71">
        <v>2039</v>
      </c>
      <c r="AA12" s="72">
        <v>2040</v>
      </c>
      <c r="AB12" s="71">
        <v>2041</v>
      </c>
      <c r="AC12" s="71">
        <v>2042</v>
      </c>
      <c r="AD12" s="71">
        <v>2043</v>
      </c>
      <c r="AE12" s="71">
        <v>2044</v>
      </c>
      <c r="AF12" s="71">
        <v>2045</v>
      </c>
      <c r="AG12" s="71">
        <v>2046</v>
      </c>
      <c r="AH12" s="71">
        <v>2047</v>
      </c>
      <c r="AI12" s="71">
        <v>2048</v>
      </c>
      <c r="AJ12" s="71">
        <v>2049</v>
      </c>
      <c r="AK12" s="73">
        <v>2050</v>
      </c>
    </row>
    <row r="13" spans="1:37" x14ac:dyDescent="0.3">
      <c r="B13" s="83">
        <v>1</v>
      </c>
      <c r="C13" s="95" t="s">
        <v>130</v>
      </c>
      <c r="D13" s="96">
        <f>G7</f>
        <v>5.7000000000000002E-2</v>
      </c>
      <c r="E13" s="96" t="str">
        <f>H7</f>
        <v>-</v>
      </c>
      <c r="F13" s="97">
        <f>'Emissions Forecast Data'!D18</f>
        <v>0</v>
      </c>
      <c r="G13" s="97">
        <f>'Emissions Forecast Data'!E18</f>
        <v>0</v>
      </c>
      <c r="H13" s="97">
        <f>'Emissions Forecast Data'!F18</f>
        <v>0</v>
      </c>
      <c r="I13" s="97">
        <f>'Emissions Forecast Data'!G18</f>
        <v>0</v>
      </c>
      <c r="J13" s="97">
        <f>'Emissions Forecast Data'!H18</f>
        <v>0</v>
      </c>
      <c r="K13" s="97">
        <f>'Emissions Forecast Data'!I18</f>
        <v>0</v>
      </c>
      <c r="L13" s="97">
        <f>MAX(0,('Emissions Forecast Data'!J12-'Emissions Forecast Data'!J12*'Goal Scenarios'!$D$13*(G12-$F$12)))</f>
        <v>0</v>
      </c>
      <c r="M13" s="97">
        <f>MAX(0,('Emissions Forecast Data'!K12-'Emissions Forecast Data'!K12*'Goal Scenarios'!$D$13*(H12-$F$12)))</f>
        <v>0</v>
      </c>
      <c r="N13" s="97">
        <f>MAX(0,('Emissions Forecast Data'!L12-'Emissions Forecast Data'!L12*'Goal Scenarios'!$D$13*(I12-$F$12)))</f>
        <v>0</v>
      </c>
      <c r="O13" s="97">
        <f>MAX(0,('Emissions Forecast Data'!M12-'Emissions Forecast Data'!M12*'Goal Scenarios'!$D$13*(J12-$F$12)))</f>
        <v>0</v>
      </c>
      <c r="P13" s="97">
        <f>MAX(0,('Emissions Forecast Data'!N12-'Emissions Forecast Data'!N12*'Goal Scenarios'!$D$13*(K12-$F$12)))</f>
        <v>0</v>
      </c>
      <c r="Q13" s="97">
        <f>MAX(0,('Emissions Forecast Data'!O12-'Emissions Forecast Data'!O12*'Goal Scenarios'!$D$13*(L12-$F$12)))</f>
        <v>0</v>
      </c>
      <c r="R13" s="97">
        <f>MAX(0,('Emissions Forecast Data'!P12-'Emissions Forecast Data'!P12*'Goal Scenarios'!$D$13*(M12-$F$12)))</f>
        <v>0</v>
      </c>
      <c r="S13" s="97">
        <f>MAX(0,('Emissions Forecast Data'!Q12-'Emissions Forecast Data'!Q12*'Goal Scenarios'!$D$13*(N12-$F$12)))</f>
        <v>0</v>
      </c>
      <c r="T13" s="97">
        <f>MAX(0,('Emissions Forecast Data'!R12-'Emissions Forecast Data'!R12*'Goal Scenarios'!$D$13*(O12-$F$12)))</f>
        <v>0</v>
      </c>
      <c r="U13" s="97">
        <f>MAX(0,('Emissions Forecast Data'!S12-'Emissions Forecast Data'!S12*'Goal Scenarios'!$D$13*(P12-$F$12)))</f>
        <v>0</v>
      </c>
      <c r="V13" s="97">
        <f>MAX(0,('Emissions Forecast Data'!T12-'Emissions Forecast Data'!T12*'Goal Scenarios'!$D$13*(Q12-$F$12)))</f>
        <v>0</v>
      </c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</row>
    <row r="14" spans="1:37" ht="14.5" thickBot="1" x14ac:dyDescent="0.35">
      <c r="B14" s="91">
        <v>2</v>
      </c>
      <c r="C14" s="92" t="s">
        <v>130</v>
      </c>
      <c r="D14" s="93">
        <f>G8</f>
        <v>5.7000000000000002E-2</v>
      </c>
      <c r="E14" s="93">
        <f>H8</f>
        <v>2.86E-2</v>
      </c>
      <c r="F14" s="94">
        <f>'Emissions Forecast Data'!D18</f>
        <v>0</v>
      </c>
      <c r="G14" s="94">
        <f>'Emissions Forecast Data'!E18</f>
        <v>0</v>
      </c>
      <c r="H14" s="94">
        <f>'Emissions Forecast Data'!F18</f>
        <v>0</v>
      </c>
      <c r="I14" s="94">
        <f>'Emissions Forecast Data'!G18</f>
        <v>0</v>
      </c>
      <c r="J14" s="94">
        <f>'Emissions Forecast Data'!H18</f>
        <v>0</v>
      </c>
      <c r="K14" s="94">
        <f>'Emissions Forecast Data'!I18</f>
        <v>0</v>
      </c>
      <c r="L14" s="94">
        <f>MAX(0,'Emissions Forecast Data'!J12-'Emissions Forecast Data'!J12*'Goal Scenarios'!$D$14*(G12-$F$12))</f>
        <v>0</v>
      </c>
      <c r="M14" s="94">
        <f>MAX(0,'Emissions Forecast Data'!K12-'Emissions Forecast Data'!K12*'Goal Scenarios'!$D$14*(H12-$F$12))</f>
        <v>0</v>
      </c>
      <c r="N14" s="94">
        <f>MAX(0,'Emissions Forecast Data'!L12-'Emissions Forecast Data'!L12*'Goal Scenarios'!$D$14*(I12-$F$12))</f>
        <v>0</v>
      </c>
      <c r="O14" s="94">
        <f>MAX(0,'Emissions Forecast Data'!M12-'Emissions Forecast Data'!M12*'Goal Scenarios'!$D$14*(J12-$F$12))</f>
        <v>0</v>
      </c>
      <c r="P14" s="94">
        <f>MAX(0,'Emissions Forecast Data'!N12-'Emissions Forecast Data'!N12*'Goal Scenarios'!$D$14*(K12-$F$12))</f>
        <v>0</v>
      </c>
      <c r="Q14" s="94">
        <f>MAX(0,'Emissions Forecast Data'!O12-'Emissions Forecast Data'!O12*'Goal Scenarios'!$D$14*(L12-$F$12))</f>
        <v>0</v>
      </c>
      <c r="R14" s="94">
        <f>MAX(0,'Emissions Forecast Data'!P12-'Emissions Forecast Data'!P12*'Goal Scenarios'!$D$14*(M12-$F$12))</f>
        <v>0</v>
      </c>
      <c r="S14" s="94">
        <f>MAX(0,'Emissions Forecast Data'!Q12-'Emissions Forecast Data'!Q12*'Goal Scenarios'!$D$14*(N12-$F$12))</f>
        <v>0</v>
      </c>
      <c r="T14" s="94">
        <f>MAX(0,'Emissions Forecast Data'!R12-'Emissions Forecast Data'!R12*'Goal Scenarios'!$D$14*(O12-$F$12))</f>
        <v>0</v>
      </c>
      <c r="U14" s="94">
        <f>MAX(0,'Emissions Forecast Data'!S12-'Emissions Forecast Data'!S12*'Goal Scenarios'!$D$14*(P12-$F$12))</f>
        <v>0</v>
      </c>
      <c r="V14" s="94">
        <f>MAX(0,'Emissions Forecast Data'!T12-'Emissions Forecast Data'!T12*'Goal Scenarios'!$D$14*(Q12-$F$12))</f>
        <v>0</v>
      </c>
      <c r="W14" s="94">
        <f>MAX(0,('Emissions Forecast Data'!U12-'Emissions Forecast Data'!U12*'Goal Scenarios'!$D$14*($Q$12-$F$12)-'Emissions Forecast Data'!U12*'Goal Scenarios'!$E$14*('Goal Scenarios'!W12-'Goal Scenarios'!$V$12)))</f>
        <v>0</v>
      </c>
      <c r="X14" s="94">
        <f>MAX(0,('Emissions Forecast Data'!V12-'Emissions Forecast Data'!V12*'Goal Scenarios'!$D$14*($Q$12-$F$12)-'Emissions Forecast Data'!V12*'Goal Scenarios'!$E$14*('Goal Scenarios'!X12-'Goal Scenarios'!$V$12)))</f>
        <v>0</v>
      </c>
      <c r="Y14" s="94">
        <f>MAX(0,('Emissions Forecast Data'!W12-'Emissions Forecast Data'!W12*'Goal Scenarios'!$D$14*($Q$12-$F$12)-'Emissions Forecast Data'!W12*'Goal Scenarios'!$E$14*('Goal Scenarios'!Y12-'Goal Scenarios'!$V$12)))</f>
        <v>0</v>
      </c>
      <c r="Z14" s="94">
        <f>MAX(0,('Emissions Forecast Data'!X12-'Emissions Forecast Data'!X12*'Goal Scenarios'!$D$14*($Q$12-$F$12)-'Emissions Forecast Data'!X12*'Goal Scenarios'!$E$14*('Goal Scenarios'!Z12-'Goal Scenarios'!$V$12)))</f>
        <v>0</v>
      </c>
      <c r="AA14" s="94">
        <f>MAX(0,('Emissions Forecast Data'!Y12-'Emissions Forecast Data'!Y12*'Goal Scenarios'!$D$14*($Q$12-$F$12)-'Emissions Forecast Data'!Y12*'Goal Scenarios'!$E$14*('Goal Scenarios'!AA12-'Goal Scenarios'!$V$12)))</f>
        <v>0</v>
      </c>
      <c r="AB14" s="94">
        <f>MAX(0,('Emissions Forecast Data'!Z12-'Emissions Forecast Data'!Z12*'Goal Scenarios'!$D$14*($Q$12-$F$12)-'Emissions Forecast Data'!Z12*'Goal Scenarios'!$E$14*('Goal Scenarios'!AB12-'Goal Scenarios'!$V$12)))</f>
        <v>0</v>
      </c>
      <c r="AC14" s="94">
        <f>MAX(0,('Emissions Forecast Data'!AA12-'Emissions Forecast Data'!AA12*'Goal Scenarios'!$D$14*($Q$12-$F$12)-'Emissions Forecast Data'!AA12*'Goal Scenarios'!$E$14*('Goal Scenarios'!AC12-'Goal Scenarios'!$V$12)))</f>
        <v>0</v>
      </c>
      <c r="AD14" s="94">
        <f>MAX(0,('Emissions Forecast Data'!AB12-'Emissions Forecast Data'!AB12*'Goal Scenarios'!$D$14*($Q$12-$F$12)-'Emissions Forecast Data'!AB12*'Goal Scenarios'!$E$14*('Goal Scenarios'!AD12-'Goal Scenarios'!$V$12)))</f>
        <v>0</v>
      </c>
      <c r="AE14" s="94">
        <f>MAX(0,('Emissions Forecast Data'!AC12-'Emissions Forecast Data'!AC12*'Goal Scenarios'!$D$14*($Q$12-$F$12)-'Emissions Forecast Data'!AC12*'Goal Scenarios'!$E$14*('Goal Scenarios'!AE12-'Goal Scenarios'!$V$12)))</f>
        <v>0</v>
      </c>
      <c r="AF14" s="94">
        <f>MAX(0,('Emissions Forecast Data'!AD12-'Emissions Forecast Data'!AD12*'Goal Scenarios'!$D$14*($Q$12-$F$12)-'Emissions Forecast Data'!AD12*'Goal Scenarios'!$E$14*('Goal Scenarios'!AF12-'Goal Scenarios'!$V$12)))</f>
        <v>0</v>
      </c>
      <c r="AG14" s="94">
        <f>MAX(0,('Emissions Forecast Data'!AE12-'Emissions Forecast Data'!AE12*'Goal Scenarios'!$D$14*($Q$12-$F$12)-'Emissions Forecast Data'!AE12*'Goal Scenarios'!$E$14*('Goal Scenarios'!AG12-'Goal Scenarios'!$V$12)))</f>
        <v>0</v>
      </c>
      <c r="AH14" s="94">
        <f>MAX(0,('Emissions Forecast Data'!AF12-'Emissions Forecast Data'!AF12*'Goal Scenarios'!$D$14*($Q$12-$F$12)-'Emissions Forecast Data'!AF12*'Goal Scenarios'!$E$14*('Goal Scenarios'!AH12-'Goal Scenarios'!$V$12)))</f>
        <v>0</v>
      </c>
      <c r="AI14" s="94">
        <f>MAX(0,('Emissions Forecast Data'!AG12-'Emissions Forecast Data'!AG12*'Goal Scenarios'!$D$14*($Q$12-$F$12)-'Emissions Forecast Data'!AG12*'Goal Scenarios'!$E$14*('Goal Scenarios'!AI12-'Goal Scenarios'!$V$12)))</f>
        <v>0</v>
      </c>
      <c r="AJ14" s="94">
        <f>MAX(0,('Emissions Forecast Data'!AH12-'Emissions Forecast Data'!AH12*'Goal Scenarios'!$D$14*($Q$12-$F$12)-'Emissions Forecast Data'!AH12*'Goal Scenarios'!$E$14*('Goal Scenarios'!AJ12-'Goal Scenarios'!$V$12)))</f>
        <v>0</v>
      </c>
      <c r="AK14" s="94">
        <f>MAX(0,('Emissions Forecast Data'!AI12-'Emissions Forecast Data'!AI12*'Goal Scenarios'!$D$14*($Q$12-$F$12)-'Emissions Forecast Data'!AI12*'Goal Scenarios'!$E$14*('Goal Scenarios'!AK12-'Goal Scenarios'!$V$12)))</f>
        <v>0</v>
      </c>
    </row>
    <row r="15" spans="1:37" x14ac:dyDescent="0.3"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7" ht="14.5" thickBot="1" x14ac:dyDescent="0.35">
      <c r="A16" s="7" t="s">
        <v>131</v>
      </c>
      <c r="D16" s="563"/>
      <c r="E16" s="56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2:40" s="13" customFormat="1" ht="28.5" thickBot="1" x14ac:dyDescent="0.35">
      <c r="B17" s="14" t="s">
        <v>116</v>
      </c>
      <c r="C17" s="15" t="s">
        <v>37</v>
      </c>
      <c r="D17" s="100" t="s">
        <v>121</v>
      </c>
      <c r="E17" s="100" t="s">
        <v>122</v>
      </c>
      <c r="F17" s="71">
        <v>2019</v>
      </c>
      <c r="G17" s="71">
        <v>2020</v>
      </c>
      <c r="H17" s="71">
        <v>2021</v>
      </c>
      <c r="I17" s="71">
        <v>2022</v>
      </c>
      <c r="J17" s="71">
        <v>2023</v>
      </c>
      <c r="K17" s="71">
        <v>2024</v>
      </c>
      <c r="L17" s="71">
        <v>2025</v>
      </c>
      <c r="M17" s="71">
        <v>2026</v>
      </c>
      <c r="N17" s="71">
        <v>2027</v>
      </c>
      <c r="O17" s="71">
        <v>2028</v>
      </c>
      <c r="P17" s="71">
        <v>2029</v>
      </c>
      <c r="Q17" s="72">
        <v>2030</v>
      </c>
      <c r="R17" s="71">
        <v>2031</v>
      </c>
      <c r="S17" s="71">
        <v>2032</v>
      </c>
      <c r="T17" s="71">
        <v>2033</v>
      </c>
      <c r="U17" s="71">
        <v>2034</v>
      </c>
      <c r="V17" s="71">
        <v>2035</v>
      </c>
      <c r="W17" s="71">
        <v>2036</v>
      </c>
      <c r="X17" s="71">
        <v>2037</v>
      </c>
      <c r="Y17" s="71">
        <v>2038</v>
      </c>
      <c r="Z17" s="71">
        <v>2039</v>
      </c>
      <c r="AA17" s="72">
        <v>2040</v>
      </c>
      <c r="AB17" s="71">
        <v>2041</v>
      </c>
      <c r="AC17" s="71">
        <v>2042</v>
      </c>
      <c r="AD17" s="71">
        <v>2043</v>
      </c>
      <c r="AE17" s="71">
        <v>2044</v>
      </c>
      <c r="AF17" s="71">
        <v>2045</v>
      </c>
      <c r="AG17" s="71">
        <v>2046</v>
      </c>
      <c r="AH17" s="71">
        <v>2047</v>
      </c>
      <c r="AI17" s="71">
        <v>2048</v>
      </c>
      <c r="AJ17" s="71">
        <v>2049</v>
      </c>
      <c r="AK17" s="73">
        <v>2050</v>
      </c>
    </row>
    <row r="18" spans="2:40" x14ac:dyDescent="0.3">
      <c r="B18" s="83">
        <v>1</v>
      </c>
      <c r="C18" s="95" t="s">
        <v>130</v>
      </c>
      <c r="D18" s="96">
        <f>D13</f>
        <v>5.7000000000000002E-2</v>
      </c>
      <c r="E18" s="96" t="str">
        <f>E13</f>
        <v>-</v>
      </c>
      <c r="F18" s="97">
        <f>'Emissions Forecast Data'!D18-F13</f>
        <v>0</v>
      </c>
      <c r="G18" s="97">
        <f>'Emissions Forecast Data'!E18-G13</f>
        <v>0</v>
      </c>
      <c r="H18" s="97">
        <f>'Emissions Forecast Data'!F18-H13</f>
        <v>0</v>
      </c>
      <c r="I18" s="97">
        <f>'Emissions Forecast Data'!G18-I13</f>
        <v>0</v>
      </c>
      <c r="J18" s="97">
        <f>'Emissions Forecast Data'!H18-J13</f>
        <v>0</v>
      </c>
      <c r="K18" s="97">
        <f>'Emissions Forecast Data'!I18-K13</f>
        <v>0</v>
      </c>
      <c r="L18" s="97">
        <f>'Emissions Forecast Data'!J18-L13</f>
        <v>0</v>
      </c>
      <c r="M18" s="97">
        <f>'Emissions Forecast Data'!K18-M13</f>
        <v>0</v>
      </c>
      <c r="N18" s="97">
        <f>'Emissions Forecast Data'!L18-N13</f>
        <v>0</v>
      </c>
      <c r="O18" s="97">
        <f>'Emissions Forecast Data'!M18-O13</f>
        <v>0</v>
      </c>
      <c r="P18" s="97">
        <f>'Emissions Forecast Data'!N18-P13</f>
        <v>0</v>
      </c>
      <c r="Q18" s="97">
        <f>'Emissions Forecast Data'!O18-Q13</f>
        <v>0</v>
      </c>
      <c r="R18" s="97">
        <f>'Emissions Forecast Data'!P18-R13</f>
        <v>0</v>
      </c>
      <c r="S18" s="97">
        <f>'Emissions Forecast Data'!Q18-S13</f>
        <v>0</v>
      </c>
      <c r="T18" s="97">
        <f>'Emissions Forecast Data'!R18-T13</f>
        <v>0</v>
      </c>
      <c r="U18" s="97">
        <f>'Emissions Forecast Data'!S18-U13</f>
        <v>0</v>
      </c>
      <c r="V18" s="97">
        <f>'Emissions Forecast Data'!T18-V13</f>
        <v>0</v>
      </c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102"/>
      <c r="AK18" s="103"/>
    </row>
    <row r="19" spans="2:40" ht="14.5" thickBot="1" x14ac:dyDescent="0.35">
      <c r="B19" s="107">
        <v>1</v>
      </c>
      <c r="C19" s="108" t="s">
        <v>132</v>
      </c>
      <c r="D19" s="101"/>
      <c r="E19" s="101"/>
      <c r="F19" s="17" t="e">
        <f>F18/'Emissions Forecast Data'!D18</f>
        <v>#DIV/0!</v>
      </c>
      <c r="G19" s="17" t="e">
        <f>G18/'Emissions Forecast Data'!E18</f>
        <v>#DIV/0!</v>
      </c>
      <c r="H19" s="17" t="e">
        <f>H18/'Emissions Forecast Data'!F18</f>
        <v>#DIV/0!</v>
      </c>
      <c r="I19" s="17" t="e">
        <f>I18/'Emissions Forecast Data'!G18</f>
        <v>#DIV/0!</v>
      </c>
      <c r="J19" s="17" t="e">
        <f>J18/'Emissions Forecast Data'!H18</f>
        <v>#DIV/0!</v>
      </c>
      <c r="K19" s="17" t="e">
        <f>K18/'Emissions Forecast Data'!I18</f>
        <v>#DIV/0!</v>
      </c>
      <c r="L19" s="17" t="e">
        <f>L18/'Emissions Forecast Data'!J18</f>
        <v>#DIV/0!</v>
      </c>
      <c r="M19" s="17" t="e">
        <f>M18/'Emissions Forecast Data'!K18</f>
        <v>#DIV/0!</v>
      </c>
      <c r="N19" s="17" t="e">
        <f>N18/'Emissions Forecast Data'!L18</f>
        <v>#DIV/0!</v>
      </c>
      <c r="O19" s="17" t="e">
        <f>O18/'Emissions Forecast Data'!M18</f>
        <v>#DIV/0!</v>
      </c>
      <c r="P19" s="17" t="e">
        <f>P18/'Emissions Forecast Data'!N18</f>
        <v>#DIV/0!</v>
      </c>
      <c r="Q19" s="17" t="e">
        <f>Q18/'Emissions Forecast Data'!O18</f>
        <v>#DIV/0!</v>
      </c>
      <c r="R19" s="17" t="e">
        <f>R18/'Emissions Forecast Data'!P18</f>
        <v>#DIV/0!</v>
      </c>
      <c r="S19" s="17" t="e">
        <f>S18/'Emissions Forecast Data'!Q18</f>
        <v>#DIV/0!</v>
      </c>
      <c r="T19" s="17" t="e">
        <f>T18/'Emissions Forecast Data'!R18</f>
        <v>#DIV/0!</v>
      </c>
      <c r="U19" s="17" t="e">
        <f>U18/'Emissions Forecast Data'!S18</f>
        <v>#DIV/0!</v>
      </c>
      <c r="V19" s="17" t="e">
        <f>V18/'Emissions Forecast Data'!T18</f>
        <v>#DIV/0!</v>
      </c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5"/>
      <c r="AK19" s="106"/>
      <c r="AL19" s="11"/>
      <c r="AM19" s="11"/>
      <c r="AN19" s="11"/>
    </row>
    <row r="20" spans="2:40" x14ac:dyDescent="0.3">
      <c r="B20" s="84">
        <v>2</v>
      </c>
      <c r="C20" s="109" t="s">
        <v>130</v>
      </c>
      <c r="D20" s="111">
        <f>D14</f>
        <v>5.7000000000000002E-2</v>
      </c>
      <c r="E20" s="111">
        <f>E14</f>
        <v>2.86E-2</v>
      </c>
      <c r="F20" s="112">
        <f>'Emissions Forecast Data'!D18-F14</f>
        <v>0</v>
      </c>
      <c r="G20" s="112">
        <f>'Emissions Forecast Data'!E18-G14</f>
        <v>0</v>
      </c>
      <c r="H20" s="112">
        <f>'Emissions Forecast Data'!F18-H14</f>
        <v>0</v>
      </c>
      <c r="I20" s="112">
        <f>'Emissions Forecast Data'!G18-I14</f>
        <v>0</v>
      </c>
      <c r="J20" s="112">
        <f>'Emissions Forecast Data'!H18-J14</f>
        <v>0</v>
      </c>
      <c r="K20" s="112">
        <f>'Emissions Forecast Data'!I18-K14</f>
        <v>0</v>
      </c>
      <c r="L20" s="112">
        <f>'Emissions Forecast Data'!J18-L14</f>
        <v>0</v>
      </c>
      <c r="M20" s="112">
        <f>'Emissions Forecast Data'!K18-M14</f>
        <v>0</v>
      </c>
      <c r="N20" s="112">
        <f>'Emissions Forecast Data'!L18-N14</f>
        <v>0</v>
      </c>
      <c r="O20" s="112">
        <f>'Emissions Forecast Data'!M18-O14</f>
        <v>0</v>
      </c>
      <c r="P20" s="112">
        <f>'Emissions Forecast Data'!N18-P14</f>
        <v>0</v>
      </c>
      <c r="Q20" s="112">
        <f>'Emissions Forecast Data'!O18-Q14</f>
        <v>0</v>
      </c>
      <c r="R20" s="112">
        <f>'Emissions Forecast Data'!P18-R14</f>
        <v>0</v>
      </c>
      <c r="S20" s="112">
        <f>'Emissions Forecast Data'!Q18-S14</f>
        <v>0</v>
      </c>
      <c r="T20" s="112">
        <f>'Emissions Forecast Data'!R18-T14</f>
        <v>0</v>
      </c>
      <c r="U20" s="112">
        <f>'Emissions Forecast Data'!S18-U14</f>
        <v>0</v>
      </c>
      <c r="V20" s="112">
        <f>'Emissions Forecast Data'!T18-V14</f>
        <v>0</v>
      </c>
      <c r="W20" s="112">
        <f>'Emissions Forecast Data'!U18-W14</f>
        <v>0</v>
      </c>
      <c r="X20" s="112">
        <f>'Emissions Forecast Data'!V18-X14</f>
        <v>0</v>
      </c>
      <c r="Y20" s="112">
        <f>'Emissions Forecast Data'!W18-Y14</f>
        <v>0</v>
      </c>
      <c r="Z20" s="112">
        <f>'Emissions Forecast Data'!X18-Z14</f>
        <v>0</v>
      </c>
      <c r="AA20" s="112">
        <f>'Emissions Forecast Data'!Y18-AA14</f>
        <v>0</v>
      </c>
      <c r="AB20" s="112">
        <f>'Emissions Forecast Data'!Z18-AB14</f>
        <v>0</v>
      </c>
      <c r="AC20" s="112">
        <f>'Emissions Forecast Data'!AA18-AC14</f>
        <v>0</v>
      </c>
      <c r="AD20" s="112">
        <f>'Emissions Forecast Data'!AB18-AD14</f>
        <v>0</v>
      </c>
      <c r="AE20" s="112">
        <f>'Emissions Forecast Data'!AC18-AE14</f>
        <v>0</v>
      </c>
      <c r="AF20" s="112">
        <f>'Emissions Forecast Data'!AD18-AF14</f>
        <v>0</v>
      </c>
      <c r="AG20" s="112">
        <f>'Emissions Forecast Data'!AE18-AG14</f>
        <v>0</v>
      </c>
      <c r="AH20" s="112">
        <f>'Emissions Forecast Data'!AF18-AH14</f>
        <v>0</v>
      </c>
      <c r="AI20" s="112">
        <f>'Emissions Forecast Data'!AG18-AI14</f>
        <v>0</v>
      </c>
      <c r="AJ20" s="112">
        <f>'Emissions Forecast Data'!AH18-AJ14</f>
        <v>0</v>
      </c>
      <c r="AK20" s="113">
        <f>'Emissions Forecast Data'!AI18-AK14</f>
        <v>0</v>
      </c>
      <c r="AL20" s="11"/>
      <c r="AM20" s="11"/>
      <c r="AN20" s="11"/>
    </row>
    <row r="21" spans="2:40" ht="14.5" thickBot="1" x14ac:dyDescent="0.35">
      <c r="B21" s="91">
        <v>2</v>
      </c>
      <c r="C21" s="110" t="s">
        <v>132</v>
      </c>
      <c r="D21" s="101"/>
      <c r="E21" s="101"/>
      <c r="F21" s="114" t="e">
        <f>F20/'Emissions Forecast Data'!D18</f>
        <v>#DIV/0!</v>
      </c>
      <c r="G21" s="114" t="e">
        <f>G20/'Emissions Forecast Data'!E18</f>
        <v>#DIV/0!</v>
      </c>
      <c r="H21" s="114" t="e">
        <f>H20/'Emissions Forecast Data'!F18</f>
        <v>#DIV/0!</v>
      </c>
      <c r="I21" s="114" t="e">
        <f>I20/'Emissions Forecast Data'!G18</f>
        <v>#DIV/0!</v>
      </c>
      <c r="J21" s="114" t="e">
        <f>J20/'Emissions Forecast Data'!H18</f>
        <v>#DIV/0!</v>
      </c>
      <c r="K21" s="114" t="e">
        <f>K20/'Emissions Forecast Data'!I18</f>
        <v>#DIV/0!</v>
      </c>
      <c r="L21" s="114" t="e">
        <f>L20/'Emissions Forecast Data'!J18</f>
        <v>#DIV/0!</v>
      </c>
      <c r="M21" s="114" t="e">
        <f>M20/'Emissions Forecast Data'!K18</f>
        <v>#DIV/0!</v>
      </c>
      <c r="N21" s="114" t="e">
        <f>N20/'Emissions Forecast Data'!L18</f>
        <v>#DIV/0!</v>
      </c>
      <c r="O21" s="114" t="e">
        <f>O20/'Emissions Forecast Data'!M18</f>
        <v>#DIV/0!</v>
      </c>
      <c r="P21" s="114" t="e">
        <f>P20/'Emissions Forecast Data'!N18</f>
        <v>#DIV/0!</v>
      </c>
      <c r="Q21" s="114" t="e">
        <f>Q20/'Emissions Forecast Data'!O18</f>
        <v>#DIV/0!</v>
      </c>
      <c r="R21" s="114" t="e">
        <f>R20/'Emissions Forecast Data'!P18</f>
        <v>#DIV/0!</v>
      </c>
      <c r="S21" s="114" t="e">
        <f>S20/'Emissions Forecast Data'!Q18</f>
        <v>#DIV/0!</v>
      </c>
      <c r="T21" s="114" t="e">
        <f>T20/'Emissions Forecast Data'!R18</f>
        <v>#DIV/0!</v>
      </c>
      <c r="U21" s="114" t="e">
        <f>U20/'Emissions Forecast Data'!S18</f>
        <v>#DIV/0!</v>
      </c>
      <c r="V21" s="114" t="e">
        <f>V20/'Emissions Forecast Data'!T18</f>
        <v>#DIV/0!</v>
      </c>
      <c r="W21" s="114" t="e">
        <f>W20/'Emissions Forecast Data'!U18</f>
        <v>#DIV/0!</v>
      </c>
      <c r="X21" s="114" t="e">
        <f>X20/'Emissions Forecast Data'!V18</f>
        <v>#DIV/0!</v>
      </c>
      <c r="Y21" s="114" t="e">
        <f>Y20/'Emissions Forecast Data'!W18</f>
        <v>#DIV/0!</v>
      </c>
      <c r="Z21" s="114" t="e">
        <f>Z20/'Emissions Forecast Data'!X18</f>
        <v>#DIV/0!</v>
      </c>
      <c r="AA21" s="114" t="e">
        <f>AA20/'Emissions Forecast Data'!Y18</f>
        <v>#DIV/0!</v>
      </c>
      <c r="AB21" s="114" t="e">
        <f>AB20/'Emissions Forecast Data'!Z18</f>
        <v>#DIV/0!</v>
      </c>
      <c r="AC21" s="114" t="e">
        <f>AC20/'Emissions Forecast Data'!AA18</f>
        <v>#DIV/0!</v>
      </c>
      <c r="AD21" s="114" t="e">
        <f>AD20/'Emissions Forecast Data'!AB18</f>
        <v>#DIV/0!</v>
      </c>
      <c r="AE21" s="114" t="e">
        <f>AE20/'Emissions Forecast Data'!AC18</f>
        <v>#DIV/0!</v>
      </c>
      <c r="AF21" s="114" t="e">
        <f>AF20/'Emissions Forecast Data'!AD18</f>
        <v>#DIV/0!</v>
      </c>
      <c r="AG21" s="114" t="e">
        <f>AG20/'Emissions Forecast Data'!AE18</f>
        <v>#DIV/0!</v>
      </c>
      <c r="AH21" s="114" t="e">
        <f>AH20/'Emissions Forecast Data'!AF18</f>
        <v>#DIV/0!</v>
      </c>
      <c r="AI21" s="114" t="e">
        <f>AI20/'Emissions Forecast Data'!AG18</f>
        <v>#DIV/0!</v>
      </c>
      <c r="AJ21" s="114" t="e">
        <f>AJ20/'Emissions Forecast Data'!AH18</f>
        <v>#DIV/0!</v>
      </c>
      <c r="AK21" s="115" t="e">
        <f>AK20/'Emissions Forecast Data'!AI18</f>
        <v>#DIV/0!</v>
      </c>
    </row>
    <row r="23" spans="2:40" x14ac:dyDescent="0.3">
      <c r="B23"/>
      <c r="C23"/>
      <c r="D23" s="238">
        <f>5.7*12</f>
        <v>68.400000000000006</v>
      </c>
    </row>
    <row r="24" spans="2:40" x14ac:dyDescent="0.3">
      <c r="B24" s="26"/>
      <c r="C24" s="26"/>
      <c r="D24" s="238">
        <f>750/2010</f>
        <v>0.37313432835820898</v>
      </c>
    </row>
    <row r="25" spans="2:40" x14ac:dyDescent="0.3">
      <c r="B25" s="116"/>
      <c r="C25" s="117"/>
    </row>
    <row r="26" spans="2:40" x14ac:dyDescent="0.3">
      <c r="B26" s="116"/>
      <c r="C26" s="117"/>
    </row>
    <row r="27" spans="2:40" x14ac:dyDescent="0.3">
      <c r="B27"/>
      <c r="C27"/>
    </row>
  </sheetData>
  <mergeCells count="9">
    <mergeCell ref="D16:E16"/>
    <mergeCell ref="D11:E11"/>
    <mergeCell ref="K5:N5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BA55B-8FDF-4D5A-A7DB-7783CE78ED27}">
  <sheetPr>
    <tabColor theme="7"/>
  </sheetPr>
  <dimension ref="A1:J194"/>
  <sheetViews>
    <sheetView showGridLines="0" zoomScale="85" zoomScaleNormal="85" workbookViewId="0">
      <pane ySplit="1" topLeftCell="A175" activePane="bottomLeft" state="frozen"/>
      <selection pane="bottomLeft" activeCell="E76" sqref="E76"/>
    </sheetView>
  </sheetViews>
  <sheetFormatPr defaultRowHeight="14" x14ac:dyDescent="0.3"/>
  <cols>
    <col min="1" max="1" width="7.8984375" customWidth="1"/>
    <col min="2" max="2" width="35.69921875" customWidth="1"/>
    <col min="3" max="4" width="29.8984375" customWidth="1"/>
    <col min="5" max="5" width="22.3984375" customWidth="1"/>
    <col min="6" max="6" width="57.3984375" customWidth="1"/>
    <col min="7" max="7" width="12.09765625" bestFit="1" customWidth="1"/>
    <col min="8" max="8" width="11.296875" customWidth="1"/>
    <col min="9" max="9" width="10.3984375" style="34" customWidth="1"/>
    <col min="10" max="10" width="11.8984375" style="34" customWidth="1"/>
    <col min="11" max="11" width="18.59765625" bestFit="1" customWidth="1"/>
    <col min="12" max="12" width="12.09765625" bestFit="1" customWidth="1"/>
    <col min="13" max="13" width="26.09765625" bestFit="1" customWidth="1"/>
    <col min="14" max="14" width="10.09765625" customWidth="1"/>
    <col min="15" max="15" width="11.59765625" customWidth="1"/>
    <col min="41" max="41" width="20.59765625" bestFit="1" customWidth="1"/>
    <col min="42" max="42" width="15.59765625" bestFit="1" customWidth="1"/>
    <col min="43" max="43" width="32" bestFit="1" customWidth="1"/>
    <col min="44" max="44" width="18.59765625" bestFit="1" customWidth="1"/>
    <col min="45" max="45" width="15.59765625" bestFit="1" customWidth="1"/>
    <col min="46" max="46" width="32" bestFit="1" customWidth="1"/>
    <col min="47" max="47" width="18.59765625" bestFit="1" customWidth="1"/>
  </cols>
  <sheetData>
    <row r="1" spans="1:10" s="2" customFormat="1" ht="68.25" customHeight="1" x14ac:dyDescent="0.3">
      <c r="A1" s="1"/>
      <c r="C1" s="118" t="s">
        <v>182</v>
      </c>
      <c r="I1" s="475"/>
      <c r="J1" s="475"/>
    </row>
    <row r="3" spans="1:10" s="462" customFormat="1" ht="16.5" x14ac:dyDescent="0.3">
      <c r="A3" s="460" t="s">
        <v>46</v>
      </c>
      <c r="B3" s="461"/>
      <c r="I3" s="476"/>
      <c r="J3" s="476"/>
    </row>
    <row r="4" spans="1:10" ht="17.25" thickBot="1" x14ac:dyDescent="0.35"/>
    <row r="5" spans="1:10" ht="16.5" x14ac:dyDescent="0.3">
      <c r="B5" s="42" t="s">
        <v>9</v>
      </c>
      <c r="C5" s="484">
        <f>Instructions!B22</f>
        <v>0</v>
      </c>
    </row>
    <row r="6" spans="1:10" ht="16.5" x14ac:dyDescent="0.3">
      <c r="B6" s="125" t="s">
        <v>10</v>
      </c>
      <c r="C6" s="485">
        <f>Instructions!C22</f>
        <v>0</v>
      </c>
    </row>
    <row r="7" spans="1:10" ht="16.5" x14ac:dyDescent="0.3">
      <c r="B7" s="43" t="s">
        <v>17</v>
      </c>
      <c r="C7" s="486">
        <v>2019</v>
      </c>
    </row>
    <row r="8" spans="1:10" ht="17.25" thickBot="1" x14ac:dyDescent="0.35">
      <c r="B8" s="44" t="s">
        <v>18</v>
      </c>
      <c r="C8" s="487">
        <f>'1. Emissions Forecast'!C10</f>
        <v>2023</v>
      </c>
    </row>
    <row r="10" spans="1:10" s="457" customFormat="1" ht="16.5" x14ac:dyDescent="0.3">
      <c r="A10" s="455" t="s">
        <v>183</v>
      </c>
      <c r="B10" s="456"/>
      <c r="I10" s="477"/>
      <c r="J10" s="477"/>
    </row>
    <row r="12" spans="1:10" ht="16.5" x14ac:dyDescent="0.3">
      <c r="B12" s="373" t="s">
        <v>184</v>
      </c>
      <c r="C12" s="374"/>
      <c r="D12" s="374"/>
      <c r="E12" s="374"/>
      <c r="F12" s="374"/>
    </row>
    <row r="13" spans="1:10" ht="16.5" x14ac:dyDescent="0.3">
      <c r="B13" s="373" t="s">
        <v>185</v>
      </c>
      <c r="C13" s="374"/>
      <c r="D13" s="374"/>
      <c r="E13" s="374"/>
      <c r="F13" s="374"/>
    </row>
    <row r="14" spans="1:10" ht="16.5" x14ac:dyDescent="0.3">
      <c r="B14" s="458" t="s">
        <v>186</v>
      </c>
      <c r="C14" s="374"/>
      <c r="D14" s="374"/>
      <c r="E14" s="374"/>
      <c r="F14" s="374"/>
    </row>
    <row r="15" spans="1:10" ht="17.25" thickBot="1" x14ac:dyDescent="0.35"/>
    <row r="16" spans="1:10" ht="17.25" thickBot="1" x14ac:dyDescent="0.35">
      <c r="B16" s="411" t="s">
        <v>105</v>
      </c>
      <c r="C16" s="434" t="s">
        <v>187</v>
      </c>
      <c r="D16" s="434"/>
    </row>
    <row r="17" spans="1:10" ht="16.5" x14ac:dyDescent="0.3">
      <c r="B17" s="413" t="str" cm="1">
        <f t="array" ref="B17:B18">INDEX(_xlfn._xlws.SORT(Enterprise[[Emissions Source]:[Total Values]],3,-1),_xlfn.SEQUENCE(2),1)</f>
        <v>Electricity (renewable purchased)</v>
      </c>
      <c r="C17" s="545" t="str">
        <f>IF(OR(B17='Facility Emissions'!$C$76,B17='Facility Emissions'!$C$77,B17='Facility Emissions'!$C$80,B17='Facility Emissions'!$C$81,B17='Facility Emissions'!$C$82,B17='Facility Emissions'!$C$83,B17='Facility Emissions'!$C$84,B17='Facility Emissions'!$C$85,B17='Facility Emissions'!$C$86,B17='Facility Emissions'!$C$87,B17='Facility Emissions'!$C$88,B17='Facility Emissions'!$C$89,B17='Facility Emissions'!$C$90),"Start with Energy Efficiency, Electrification, and Fuel Switching","Start with Energy Efficiency and then Renewable Energy")</f>
        <v>Start with Energy Efficiency and then Renewable Energy</v>
      </c>
      <c r="D17" s="435"/>
      <c r="F17" s="25"/>
    </row>
    <row r="18" spans="1:10" ht="17.25" thickBot="1" x14ac:dyDescent="0.35">
      <c r="B18" s="414" t="str">
        <v>Electricity (standard)</v>
      </c>
      <c r="C18" s="546" t="str">
        <f>IF(OR(B18='Facility Emissions'!$C$76,B18='Facility Emissions'!$C$77,B18='Facility Emissions'!$C$80,B18='Facility Emissions'!$C$81,B18='Facility Emissions'!$C$82,B18='Facility Emissions'!$C$83,B18='Facility Emissions'!$C$84,B18='Facility Emissions'!$C$85,B18='Facility Emissions'!$C$86,B18='Facility Emissions'!$C$87,B18='Facility Emissions'!$C$88,B18='Facility Emissions'!$C$89,B18='Facility Emissions'!$C$90),"Start with Energy Efficiency, Electrification, and Fuel Switching","Start with Energy Efficiency and then Renewable Energy")</f>
        <v>Start with Energy Efficiency and then Renewable Energy</v>
      </c>
      <c r="D18" s="409"/>
    </row>
    <row r="20" spans="1:10" s="6" customFormat="1" ht="16.5" x14ac:dyDescent="0.3">
      <c r="A20" s="358" t="s">
        <v>188</v>
      </c>
      <c r="B20" s="5"/>
      <c r="I20" s="478"/>
      <c r="J20" s="478"/>
    </row>
    <row r="22" spans="1:10" ht="16.5" x14ac:dyDescent="0.3">
      <c r="B22" s="373" t="s">
        <v>189</v>
      </c>
      <c r="C22" s="374"/>
      <c r="D22" s="374"/>
      <c r="E22" s="374"/>
      <c r="F22" s="374"/>
    </row>
    <row r="23" spans="1:10" x14ac:dyDescent="0.3">
      <c r="B23" s="373" t="s">
        <v>190</v>
      </c>
      <c r="C23" s="374"/>
      <c r="D23" s="374"/>
      <c r="E23" s="374"/>
      <c r="F23" s="374"/>
    </row>
    <row r="25" spans="1:10" x14ac:dyDescent="0.3">
      <c r="B25" s="317" t="s">
        <v>191</v>
      </c>
      <c r="C25" s="318" t="s">
        <v>192</v>
      </c>
      <c r="D25" s="319" t="s">
        <v>193</v>
      </c>
    </row>
    <row r="26" spans="1:10" x14ac:dyDescent="0.3">
      <c r="B26" s="350" t="s">
        <v>138</v>
      </c>
      <c r="C26" s="537">
        <v>0</v>
      </c>
      <c r="D26" s="538">
        <v>0</v>
      </c>
      <c r="E26" s="343" t="str">
        <f>"   "&amp;IF(C26&gt;0.25,"2035 ","")&amp;IF(AND(C26&gt;0.25,D26&gt;0.25),"and ","")&amp;IF(D26&gt;0.25,"2050 ","")&amp;IF(AND(C26&gt;0.25,D26&gt;0.25),"are ",IF(OR(C26&gt;0.25,D26&gt;0.25),"is ",""))&amp;IF(OR(C26&gt;0.25,D26&gt;0.25),"greater than 25%. Please consider a more realistic efficiency improvement estimate","")</f>
        <v xml:space="preserve">   </v>
      </c>
    </row>
    <row r="27" spans="1:10" x14ac:dyDescent="0.3">
      <c r="B27" s="7"/>
      <c r="C27" s="465"/>
      <c r="D27" s="465"/>
    </row>
    <row r="28" spans="1:10" x14ac:dyDescent="0.3">
      <c r="B28" s="471" t="s">
        <v>194</v>
      </c>
      <c r="C28" s="465"/>
      <c r="D28" s="465"/>
    </row>
    <row r="29" spans="1:10" ht="53.25" customHeight="1" x14ac:dyDescent="0.3">
      <c r="B29" s="539" t="s">
        <v>459</v>
      </c>
      <c r="C29" s="465"/>
      <c r="D29" s="465"/>
    </row>
    <row r="31" spans="1:10" s="6" customFormat="1" ht="15.5" x14ac:dyDescent="0.35">
      <c r="A31" s="358" t="s">
        <v>195</v>
      </c>
      <c r="B31" s="5"/>
      <c r="I31" s="478"/>
      <c r="J31" s="478"/>
    </row>
    <row r="33" spans="2:6" x14ac:dyDescent="0.3">
      <c r="B33" s="373" t="s">
        <v>196</v>
      </c>
      <c r="C33" s="374"/>
      <c r="D33" s="374"/>
      <c r="E33" s="374"/>
      <c r="F33" s="374"/>
    </row>
    <row r="34" spans="2:6" x14ac:dyDescent="0.3">
      <c r="B34" s="373" t="s">
        <v>197</v>
      </c>
      <c r="C34" s="374"/>
      <c r="D34" s="374"/>
      <c r="E34" s="374"/>
      <c r="F34" s="374"/>
    </row>
    <row r="36" spans="2:6" x14ac:dyDescent="0.3">
      <c r="B36" s="51" t="s">
        <v>198</v>
      </c>
    </row>
    <row r="37" spans="2:6" x14ac:dyDescent="0.3">
      <c r="B37" s="426" t="s">
        <v>199</v>
      </c>
    </row>
    <row r="39" spans="2:6" x14ac:dyDescent="0.3">
      <c r="B39" s="340" t="s">
        <v>200</v>
      </c>
      <c r="C39" s="537">
        <v>1</v>
      </c>
    </row>
    <row r="40" spans="2:6" x14ac:dyDescent="0.3">
      <c r="B40" s="340" t="s">
        <v>201</v>
      </c>
      <c r="C40" s="353">
        <f>1-C39</f>
        <v>0</v>
      </c>
    </row>
    <row r="42" spans="2:6" x14ac:dyDescent="0.3">
      <c r="B42" s="51" t="s">
        <v>465</v>
      </c>
    </row>
    <row r="43" spans="2:6" x14ac:dyDescent="0.3">
      <c r="B43" s="426" t="s">
        <v>202</v>
      </c>
    </row>
    <row r="44" spans="2:6" x14ac:dyDescent="0.3">
      <c r="B44" s="426" t="s">
        <v>203</v>
      </c>
    </row>
    <row r="46" spans="2:6" x14ac:dyDescent="0.3">
      <c r="B46" s="333" t="s">
        <v>191</v>
      </c>
      <c r="C46" s="334" t="s">
        <v>192</v>
      </c>
      <c r="D46" s="334" t="s">
        <v>193</v>
      </c>
    </row>
    <row r="47" spans="2:6" x14ac:dyDescent="0.3">
      <c r="B47" s="351" t="s">
        <v>139</v>
      </c>
      <c r="C47" s="537">
        <v>0</v>
      </c>
      <c r="D47" s="537">
        <v>0</v>
      </c>
    </row>
    <row r="48" spans="2:6" x14ac:dyDescent="0.3">
      <c r="B48" s="352" t="s">
        <v>140</v>
      </c>
      <c r="C48" s="540">
        <v>0</v>
      </c>
      <c r="D48" s="540">
        <v>0</v>
      </c>
    </row>
    <row r="49" spans="1:10" ht="6" customHeight="1" x14ac:dyDescent="0.3">
      <c r="B49" s="430"/>
      <c r="C49" s="431"/>
      <c r="D49" s="431"/>
    </row>
    <row r="50" spans="1:10" x14ac:dyDescent="0.3">
      <c r="B50" s="352" t="s">
        <v>204</v>
      </c>
      <c r="C50" s="353">
        <f>SUM(C47:C48)</f>
        <v>0</v>
      </c>
      <c r="D50" s="353">
        <f>SUM(D47:D48)</f>
        <v>0</v>
      </c>
      <c r="E50" s="343" t="str">
        <f>"   "&amp;IF(C50&gt;1,"2035 ","")&amp;IF(AND(C50&gt;1,D50&gt;1),"and ","")&amp;IF(D50&gt;1,"2050 ","")&amp;IF(AND(C50&gt;1,D50&gt;1),"are ",IF(OR(C50&gt;1,D50&gt;1),"is ",""))&amp;IF(OR(C50&gt;1,D50&gt;1),"greater than 100%. Re-enter values to sum to no more than 100%","")</f>
        <v xml:space="preserve">   </v>
      </c>
    </row>
    <row r="51" spans="1:10" x14ac:dyDescent="0.3">
      <c r="B51" s="51"/>
      <c r="C51" s="470"/>
      <c r="D51" s="470"/>
      <c r="E51" s="343"/>
    </row>
    <row r="52" spans="1:10" x14ac:dyDescent="0.3">
      <c r="B52" s="471" t="s">
        <v>194</v>
      </c>
      <c r="C52" s="470"/>
      <c r="D52" s="470"/>
      <c r="E52" s="343"/>
    </row>
    <row r="53" spans="1:10" ht="52.5" customHeight="1" x14ac:dyDescent="0.3">
      <c r="B53" s="539" t="s">
        <v>458</v>
      </c>
      <c r="C53" s="470"/>
      <c r="D53" s="470"/>
      <c r="E53" s="343"/>
    </row>
    <row r="55" spans="1:10" s="6" customFormat="1" ht="15.5" x14ac:dyDescent="0.35">
      <c r="A55" s="358" t="s">
        <v>205</v>
      </c>
      <c r="B55" s="5"/>
      <c r="I55" s="478"/>
      <c r="J55" s="478"/>
    </row>
    <row r="57" spans="1:10" x14ac:dyDescent="0.3">
      <c r="B57" s="373" t="s">
        <v>206</v>
      </c>
      <c r="C57" s="374"/>
      <c r="D57" s="374"/>
      <c r="E57" s="374"/>
      <c r="F57" s="374"/>
    </row>
    <row r="58" spans="1:10" x14ac:dyDescent="0.3">
      <c r="B58" s="373" t="s">
        <v>207</v>
      </c>
      <c r="C58" s="374"/>
      <c r="D58" s="374"/>
      <c r="E58" s="374"/>
      <c r="F58" s="374"/>
    </row>
    <row r="59" spans="1:10" x14ac:dyDescent="0.3">
      <c r="B59" s="338"/>
    </row>
    <row r="60" spans="1:10" x14ac:dyDescent="0.3">
      <c r="B60" s="338" t="s">
        <v>208</v>
      </c>
    </row>
    <row r="61" spans="1:10" x14ac:dyDescent="0.3">
      <c r="B61" s="338"/>
    </row>
    <row r="62" spans="1:10" x14ac:dyDescent="0.3">
      <c r="B62" s="340" t="s">
        <v>209</v>
      </c>
      <c r="C62" s="541">
        <v>0</v>
      </c>
    </row>
    <row r="63" spans="1:10" x14ac:dyDescent="0.3">
      <c r="B63" s="340" t="s">
        <v>210</v>
      </c>
      <c r="C63" s="543">
        <f>C62*8.34</f>
        <v>0</v>
      </c>
    </row>
    <row r="64" spans="1:10" x14ac:dyDescent="0.3">
      <c r="B64" s="291"/>
    </row>
    <row r="65" spans="2:4" x14ac:dyDescent="0.3">
      <c r="B65" s="291" t="s">
        <v>211</v>
      </c>
    </row>
    <row r="66" spans="2:4" x14ac:dyDescent="0.3">
      <c r="B66" s="344" t="s">
        <v>212</v>
      </c>
    </row>
    <row r="67" spans="2:4" x14ac:dyDescent="0.3">
      <c r="B67" s="291"/>
    </row>
    <row r="68" spans="2:4" x14ac:dyDescent="0.3">
      <c r="B68" s="291"/>
      <c r="C68" s="342">
        <v>2035</v>
      </c>
      <c r="D68" s="342">
        <v>2050</v>
      </c>
    </row>
    <row r="69" spans="2:4" x14ac:dyDescent="0.3">
      <c r="B69" s="339" t="s">
        <v>213</v>
      </c>
      <c r="C69" s="356">
        <f>ROUND(Transformation!E4*1000,-6)</f>
        <v>0</v>
      </c>
      <c r="D69" s="357">
        <f>ROUND(Transformation!E31*1000,-6)</f>
        <v>0</v>
      </c>
    </row>
    <row r="70" spans="2:4" x14ac:dyDescent="0.3">
      <c r="B70" s="339" t="s">
        <v>214</v>
      </c>
      <c r="C70" s="544" t="e">
        <f>C63/C69</f>
        <v>#DIV/0!</v>
      </c>
      <c r="D70" s="544" t="e">
        <f>C63/D69</f>
        <v>#DIV/0!</v>
      </c>
    </row>
    <row r="71" spans="2:4" x14ac:dyDescent="0.3">
      <c r="B71" s="291"/>
    </row>
    <row r="72" spans="2:4" x14ac:dyDescent="0.3">
      <c r="B72" s="291" t="s">
        <v>464</v>
      </c>
      <c r="C72" s="283"/>
      <c r="D72" s="31"/>
    </row>
    <row r="74" spans="2:4" x14ac:dyDescent="0.3">
      <c r="B74" s="333" t="s">
        <v>191</v>
      </c>
      <c r="C74" s="334" t="s">
        <v>192</v>
      </c>
      <c r="D74" s="334" t="s">
        <v>193</v>
      </c>
    </row>
    <row r="75" spans="2:4" x14ac:dyDescent="0.3">
      <c r="B75" s="351" t="s">
        <v>181</v>
      </c>
      <c r="C75" s="537">
        <v>0</v>
      </c>
      <c r="D75" s="537">
        <v>0</v>
      </c>
    </row>
    <row r="77" spans="2:4" x14ac:dyDescent="0.3">
      <c r="B77" s="471" t="s">
        <v>194</v>
      </c>
    </row>
    <row r="78" spans="2:4" ht="52.5" customHeight="1" x14ac:dyDescent="0.3">
      <c r="B78" s="539" t="s">
        <v>457</v>
      </c>
    </row>
    <row r="80" spans="2:4" x14ac:dyDescent="0.3">
      <c r="B80" s="291" t="s">
        <v>215</v>
      </c>
    </row>
    <row r="82" spans="1:10" x14ac:dyDescent="0.3">
      <c r="B82" s="333" t="s">
        <v>191</v>
      </c>
      <c r="C82" s="334" t="s">
        <v>192</v>
      </c>
      <c r="D82" s="334" t="s">
        <v>193</v>
      </c>
    </row>
    <row r="83" spans="1:10" x14ac:dyDescent="0.3">
      <c r="B83" s="352" t="s">
        <v>216</v>
      </c>
      <c r="C83" s="540">
        <v>0</v>
      </c>
      <c r="D83" s="540">
        <v>0</v>
      </c>
    </row>
    <row r="84" spans="1:10" x14ac:dyDescent="0.3">
      <c r="B84" s="351" t="s">
        <v>143</v>
      </c>
      <c r="C84" s="537">
        <v>0</v>
      </c>
      <c r="D84" s="537">
        <v>0</v>
      </c>
    </row>
    <row r="85" spans="1:10" x14ac:dyDescent="0.3">
      <c r="B85" s="352" t="s">
        <v>144</v>
      </c>
      <c r="C85" s="540">
        <v>0</v>
      </c>
      <c r="D85" s="540">
        <v>0</v>
      </c>
    </row>
    <row r="86" spans="1:10" ht="5.5" customHeight="1" x14ac:dyDescent="0.3">
      <c r="B86" s="354"/>
      <c r="C86" s="355"/>
      <c r="D86" s="355"/>
    </row>
    <row r="87" spans="1:10" x14ac:dyDescent="0.3">
      <c r="B87" s="351" t="s">
        <v>217</v>
      </c>
      <c r="C87" s="544">
        <f>SUM(C85,C84,C83,C75)</f>
        <v>0</v>
      </c>
      <c r="D87" s="544">
        <f>SUM(D85,D84,D83,D75)</f>
        <v>0</v>
      </c>
      <c r="E87" s="343" t="str">
        <f>"   "&amp;IF(C87&gt;1,"2035 ","")&amp;IF(AND(C87&gt;1,D87&gt;1),"and ","")&amp;IF(D87&gt;1,"2050 ","")&amp;IF(AND(C87&gt;1,D87&gt;1),"are ",IF(OR(C87&gt;1,D87&gt;1),"is ",""))&amp;IF(OR(C87&gt;1,D87&gt;1),"greater than 100%. Re-enter renewables to sum to no more than 100%","")</f>
        <v xml:space="preserve">   </v>
      </c>
    </row>
    <row r="89" spans="1:10" x14ac:dyDescent="0.3">
      <c r="B89" s="471" t="s">
        <v>194</v>
      </c>
    </row>
    <row r="90" spans="1:10" ht="53.25" customHeight="1" x14ac:dyDescent="0.3">
      <c r="B90" s="539" t="s">
        <v>456</v>
      </c>
    </row>
    <row r="93" spans="1:10" s="6" customFormat="1" ht="15.5" x14ac:dyDescent="0.35">
      <c r="A93" s="358" t="s">
        <v>218</v>
      </c>
      <c r="B93" s="5"/>
      <c r="I93" s="478"/>
      <c r="J93" s="478"/>
    </row>
    <row r="95" spans="1:10" x14ac:dyDescent="0.3">
      <c r="B95" s="373" t="s">
        <v>219</v>
      </c>
      <c r="C95" s="374"/>
      <c r="D95" s="374"/>
    </row>
    <row r="96" spans="1:10" x14ac:dyDescent="0.3">
      <c r="B96" s="373" t="s">
        <v>220</v>
      </c>
      <c r="C96" s="374"/>
      <c r="D96" s="374"/>
    </row>
    <row r="98" spans="1:10" x14ac:dyDescent="0.3">
      <c r="B98" s="333" t="s">
        <v>191</v>
      </c>
      <c r="C98" s="334" t="s">
        <v>192</v>
      </c>
      <c r="D98" s="334" t="s">
        <v>193</v>
      </c>
    </row>
    <row r="99" spans="1:10" x14ac:dyDescent="0.3">
      <c r="B99" s="351" t="s">
        <v>180</v>
      </c>
      <c r="C99" s="542" t="s">
        <v>221</v>
      </c>
      <c r="D99" s="542" t="s">
        <v>221</v>
      </c>
    </row>
    <row r="102" spans="1:10" s="6" customFormat="1" ht="15.5" x14ac:dyDescent="0.35">
      <c r="A102" s="358" t="s">
        <v>222</v>
      </c>
      <c r="B102" s="5"/>
      <c r="I102" s="478"/>
      <c r="J102" s="478"/>
    </row>
    <row r="104" spans="1:10" x14ac:dyDescent="0.3">
      <c r="B104" s="373" t="s">
        <v>223</v>
      </c>
      <c r="C104" s="374"/>
      <c r="D104" s="374"/>
      <c r="E104" s="374"/>
      <c r="F104" s="374"/>
    </row>
    <row r="105" spans="1:10" x14ac:dyDescent="0.3">
      <c r="B105" s="433" t="s">
        <v>224</v>
      </c>
      <c r="C105" s="374"/>
      <c r="D105" s="374"/>
      <c r="E105" s="374"/>
      <c r="F105" s="374"/>
    </row>
    <row r="106" spans="1:10" x14ac:dyDescent="0.3">
      <c r="B106" s="474"/>
      <c r="C106" s="3"/>
      <c r="D106" s="3"/>
      <c r="E106" s="3"/>
      <c r="F106" s="3"/>
    </row>
    <row r="107" spans="1:10" x14ac:dyDescent="0.3">
      <c r="B107" s="474"/>
      <c r="C107" s="571" t="s">
        <v>225</v>
      </c>
      <c r="D107" s="571"/>
      <c r="E107" s="571"/>
      <c r="F107" s="3"/>
    </row>
    <row r="108" spans="1:10" x14ac:dyDescent="0.3">
      <c r="B108" s="474"/>
      <c r="C108" s="571"/>
      <c r="D108" s="571"/>
      <c r="E108" s="571"/>
      <c r="F108" s="3"/>
    </row>
    <row r="123" ht="21.65" customHeight="1" x14ac:dyDescent="0.3"/>
    <row r="124" ht="26.15" customHeight="1" x14ac:dyDescent="0.3"/>
    <row r="137" spans="1:10" x14ac:dyDescent="0.3">
      <c r="B137" s="451" t="s">
        <v>461</v>
      </c>
    </row>
    <row r="139" spans="1:10" s="6" customFormat="1" ht="15.5" x14ac:dyDescent="0.35">
      <c r="A139" s="358" t="s">
        <v>226</v>
      </c>
      <c r="B139" s="5"/>
      <c r="I139" s="478"/>
      <c r="J139" s="478"/>
    </row>
    <row r="141" spans="1:10" x14ac:dyDescent="0.3">
      <c r="B141" s="373" t="s">
        <v>227</v>
      </c>
      <c r="C141" s="374"/>
      <c r="D141" s="374"/>
      <c r="E141" s="374"/>
      <c r="F141" s="374"/>
    </row>
    <row r="142" spans="1:10" x14ac:dyDescent="0.3">
      <c r="B142" s="373" t="s">
        <v>228</v>
      </c>
      <c r="C142" s="374"/>
      <c r="D142" s="374"/>
      <c r="E142" s="374"/>
      <c r="F142" s="374"/>
    </row>
    <row r="143" spans="1:10" x14ac:dyDescent="0.3">
      <c r="B143" s="373"/>
      <c r="C143" s="374"/>
      <c r="D143" s="374"/>
      <c r="E143" s="374"/>
      <c r="F143" s="374"/>
    </row>
    <row r="144" spans="1:10" x14ac:dyDescent="0.3">
      <c r="B144" s="494" t="s">
        <v>466</v>
      </c>
      <c r="C144" s="374"/>
      <c r="D144" s="374"/>
      <c r="E144" s="374"/>
      <c r="F144" s="374"/>
    </row>
    <row r="145" spans="2:6" x14ac:dyDescent="0.3">
      <c r="B145" s="494" t="s">
        <v>467</v>
      </c>
      <c r="C145" s="374"/>
      <c r="D145" s="374"/>
      <c r="E145" s="374"/>
      <c r="F145" s="374"/>
    </row>
    <row r="146" spans="2:6" x14ac:dyDescent="0.3">
      <c r="B146" s="344"/>
    </row>
    <row r="147" spans="2:6" ht="24" customHeight="1" thickBot="1" x14ac:dyDescent="0.35">
      <c r="B147" s="572" t="s">
        <v>229</v>
      </c>
      <c r="C147" s="572"/>
      <c r="D147" s="572"/>
      <c r="E147" s="572"/>
    </row>
    <row r="148" spans="2:6" ht="61.5" customHeight="1" thickTop="1" x14ac:dyDescent="0.3">
      <c r="B148" s="437" t="s">
        <v>230</v>
      </c>
      <c r="C148" s="438" t="s">
        <v>231</v>
      </c>
      <c r="D148" s="438" t="s">
        <v>232</v>
      </c>
      <c r="E148" s="468" t="s">
        <v>233</v>
      </c>
      <c r="F148" s="466" t="s">
        <v>234</v>
      </c>
    </row>
    <row r="149" spans="2:6" ht="37.5" customHeight="1" x14ac:dyDescent="0.3">
      <c r="B149" s="449" t="s">
        <v>138</v>
      </c>
      <c r="C149" s="520" t="str">
        <f>Transformation!BU5</f>
        <v>None</v>
      </c>
      <c r="D149" s="521" t="e">
        <f>LEFT(Transformation!BV5,LEN(Transformation!BV5)-1)</f>
        <v>#NUM!</v>
      </c>
      <c r="E149" s="522" t="str">
        <f>IF(Transformation!BW5="Likely payback","✓",IF(Transformation!BW5="Unlikely payback","o","x"))</f>
        <v>x</v>
      </c>
      <c r="F149" s="473" t="str">
        <f>IF(B29="Example: Projects planned through 2030 will require $5M in Capital and save $1M annually in utility costs","",B29)</f>
        <v/>
      </c>
    </row>
    <row r="150" spans="2:6" ht="37.5" customHeight="1" x14ac:dyDescent="0.3">
      <c r="B150" s="449" t="s">
        <v>139</v>
      </c>
      <c r="C150" s="520" t="str">
        <f>Transformation!BU6</f>
        <v>None</v>
      </c>
      <c r="D150" s="521" t="e">
        <f>LEFT(Transformation!BV6,LEN(Transformation!BV6)-1)</f>
        <v>#NUM!</v>
      </c>
      <c r="E150" s="522" t="str">
        <f>IF(Transformation!BW6="Likely payback","✓",IF(Transformation!BW6="Unlikely payback","o","x"))</f>
        <v>x</v>
      </c>
      <c r="F150" s="573" t="str">
        <f>IF(B53="Example: Maintenance replacements with heat pumps require $5M annually in Capital and have a positive ROI","",B53)</f>
        <v/>
      </c>
    </row>
    <row r="151" spans="2:6" ht="37.5" customHeight="1" x14ac:dyDescent="0.3">
      <c r="B151" s="449" t="s">
        <v>140</v>
      </c>
      <c r="C151" s="520" t="str">
        <f>Transformation!BU7</f>
        <v>None</v>
      </c>
      <c r="D151" s="521" t="e">
        <f>LEFT(Transformation!BV7,LEN(Transformation!BV7)-1)</f>
        <v>#NUM!</v>
      </c>
      <c r="E151" s="522" t="str">
        <f>IF(Transformation!BW7="Likely payback","✓",IF(Transformation!BW7="Unlikely payback","o","x"))</f>
        <v>x</v>
      </c>
      <c r="F151" s="574"/>
    </row>
    <row r="152" spans="2:6" ht="37.5" customHeight="1" x14ac:dyDescent="0.3">
      <c r="B152" s="449" t="s">
        <v>181</v>
      </c>
      <c r="C152" s="520" t="str">
        <f>Transformation!BU8</f>
        <v>None</v>
      </c>
      <c r="D152" s="521" t="e">
        <f>LEFT(Transformation!BV8,LEN(Transformation!BV8)-1)</f>
        <v>#NUM!</v>
      </c>
      <c r="E152" s="522" t="str">
        <f>IF(Transformation!BW8="Likely payback","✓",IF(Transformation!BW8="Unlikely payback","o","x"))</f>
        <v>x</v>
      </c>
      <c r="F152" s="473" t="str">
        <f>IF(B78="Example: Bids for 3 facilities project a Capital cost of $5M with an annual electric savings of $900k","",B78)</f>
        <v/>
      </c>
    </row>
    <row r="153" spans="2:6" ht="37.5" customHeight="1" x14ac:dyDescent="0.3">
      <c r="B153" s="449" t="s">
        <v>142</v>
      </c>
      <c r="C153" s="520" t="str">
        <f>Transformation!BU9</f>
        <v>None</v>
      </c>
      <c r="D153" s="521" t="e">
        <f>LEFT(Transformation!BV9,LEN(Transformation!BV9)-1)</f>
        <v>#NUM!</v>
      </c>
      <c r="E153" s="522" t="str">
        <f>IF(Transformation!BW9="Likely payback","✓",IF(Transformation!BW9="Unlikely payback","o","x"))</f>
        <v>x</v>
      </c>
      <c r="F153" s="573" t="str">
        <f>IF(B90="Example: Early discussions on VPPAs suggest we could cover 10% of our electricity for $100k annually","",B90)</f>
        <v/>
      </c>
    </row>
    <row r="154" spans="2:6" ht="37.5" customHeight="1" x14ac:dyDescent="0.3">
      <c r="B154" s="449" t="s">
        <v>143</v>
      </c>
      <c r="C154" s="520" t="str">
        <f>Transformation!BU10</f>
        <v>None</v>
      </c>
      <c r="D154" s="521" t="e">
        <f>LEFT(Transformation!BV10,LEN(Transformation!BV10)-1)</f>
        <v>#NUM!</v>
      </c>
      <c r="E154" s="522" t="str">
        <f>IF(Transformation!BW10="Likely payback","✓",IF(Transformation!BW10="Unlikely payback","o","x"))</f>
        <v>x</v>
      </c>
      <c r="F154" s="575"/>
    </row>
    <row r="155" spans="2:6" ht="37.5" customHeight="1" thickBot="1" x14ac:dyDescent="0.35">
      <c r="B155" s="450" t="s">
        <v>144</v>
      </c>
      <c r="C155" s="523" t="str">
        <f>Transformation!BU11</f>
        <v>None</v>
      </c>
      <c r="D155" s="524" t="e">
        <f>LEFT(Transformation!BV11,LEN(Transformation!BV11)-1)</f>
        <v>#NUM!</v>
      </c>
      <c r="E155" s="525" t="str">
        <f>IF(Transformation!BW11="Likely payback","✓",IF(Transformation!BW11="Unlikely payback","o","x"))</f>
        <v>x</v>
      </c>
      <c r="F155" s="574"/>
    </row>
    <row r="156" spans="2:6" ht="10.5" customHeight="1" thickBot="1" x14ac:dyDescent="0.35">
      <c r="B156" s="444"/>
      <c r="C156" s="445"/>
      <c r="D156" s="446"/>
      <c r="E156" s="469"/>
      <c r="F156" s="467"/>
    </row>
    <row r="157" spans="2:6" ht="37.5" customHeight="1" thickBot="1" x14ac:dyDescent="0.35">
      <c r="B157" s="450" t="s">
        <v>159</v>
      </c>
      <c r="C157" s="523" t="str">
        <f>Transformation!BU12</f>
        <v>None</v>
      </c>
      <c r="D157" s="524" t="e">
        <f>LEFT(Transformation!BV12,LEN(Transformation!BV12)-1)</f>
        <v>#NUM!</v>
      </c>
      <c r="E157" s="526" t="str">
        <f>IF(Transformation!BW12="Likely payback","✓",IF(Transformation!BW12="Unlikely payback","o","x"))</f>
        <v>x</v>
      </c>
      <c r="F157" s="472"/>
    </row>
    <row r="159" spans="2:6" x14ac:dyDescent="0.3">
      <c r="B159" s="451" t="s">
        <v>235</v>
      </c>
    </row>
    <row r="161" spans="1:10" ht="24" customHeight="1" thickBot="1" x14ac:dyDescent="0.35">
      <c r="B161" s="572" t="s">
        <v>236</v>
      </c>
      <c r="C161" s="572"/>
      <c r="D161" s="572"/>
      <c r="E161" s="572"/>
    </row>
    <row r="162" spans="1:10" ht="61.5" customHeight="1" thickTop="1" x14ac:dyDescent="0.3">
      <c r="B162" s="437" t="s">
        <v>230</v>
      </c>
      <c r="C162" s="438" t="s">
        <v>237</v>
      </c>
      <c r="D162" s="438" t="s">
        <v>232</v>
      </c>
      <c r="E162" s="441" t="s">
        <v>233</v>
      </c>
    </row>
    <row r="163" spans="1:10" ht="37.5" customHeight="1" x14ac:dyDescent="0.3">
      <c r="B163" s="449" t="s">
        <v>138</v>
      </c>
      <c r="C163" s="527" t="str">
        <f>Transformation!BU35</f>
        <v>None</v>
      </c>
      <c r="D163" s="521" t="e">
        <f>LEFT(Transformation!BV35,LEN(Transformation!BV35)-1)</f>
        <v>#NUM!</v>
      </c>
      <c r="E163" s="528" t="str">
        <f>IF(Transformation!BW35="Likely payback","✓",IF(Transformation!BW35="Unlikely payback","o","x"))</f>
        <v>x</v>
      </c>
    </row>
    <row r="164" spans="1:10" ht="37.5" customHeight="1" x14ac:dyDescent="0.3">
      <c r="B164" s="449" t="s">
        <v>139</v>
      </c>
      <c r="C164" s="527" t="str">
        <f>Transformation!BU36</f>
        <v>None</v>
      </c>
      <c r="D164" s="521" t="e">
        <f>LEFT(Transformation!BV36,LEN(Transformation!BV36)-1)</f>
        <v>#NUM!</v>
      </c>
      <c r="E164" s="528" t="str">
        <f>IF(Transformation!BW36="Likely payback","✓",IF(Transformation!BW36="Unlikely payback","o","x"))</f>
        <v>x</v>
      </c>
    </row>
    <row r="165" spans="1:10" ht="37.5" customHeight="1" x14ac:dyDescent="0.3">
      <c r="B165" s="449" t="s">
        <v>140</v>
      </c>
      <c r="C165" s="527" t="str">
        <f>Transformation!BU37</f>
        <v>None</v>
      </c>
      <c r="D165" s="521" t="e">
        <f>LEFT(Transformation!BV37,LEN(Transformation!BV37)-1)</f>
        <v>#NUM!</v>
      </c>
      <c r="E165" s="528" t="str">
        <f>IF(Transformation!BW37="Likely payback","✓",IF(Transformation!BW37="Unlikely payback","o","x"))</f>
        <v>x</v>
      </c>
    </row>
    <row r="166" spans="1:10" ht="37.5" customHeight="1" x14ac:dyDescent="0.3">
      <c r="B166" s="449" t="s">
        <v>181</v>
      </c>
      <c r="C166" s="527" t="str">
        <f>Transformation!BU38</f>
        <v>None</v>
      </c>
      <c r="D166" s="521" t="e">
        <f>LEFT(Transformation!BV38,LEN(Transformation!BV38)-1)</f>
        <v>#NUM!</v>
      </c>
      <c r="E166" s="528" t="str">
        <f>IF(Transformation!BW38="Likely payback","✓",IF(Transformation!BW38="Unlikely payback","o","x"))</f>
        <v>x</v>
      </c>
    </row>
    <row r="167" spans="1:10" ht="37.5" customHeight="1" x14ac:dyDescent="0.3">
      <c r="B167" s="449" t="s">
        <v>142</v>
      </c>
      <c r="C167" s="527" t="str">
        <f>Transformation!BU39</f>
        <v>None</v>
      </c>
      <c r="D167" s="521" t="e">
        <f>LEFT(Transformation!BV39,LEN(Transformation!BV39)-1)</f>
        <v>#NUM!</v>
      </c>
      <c r="E167" s="528" t="str">
        <f>IF(Transformation!BW39="Likely payback","✓",IF(Transformation!BW39="Unlikely payback","o","x"))</f>
        <v>x</v>
      </c>
    </row>
    <row r="168" spans="1:10" ht="37.5" customHeight="1" x14ac:dyDescent="0.3">
      <c r="B168" s="449" t="s">
        <v>143</v>
      </c>
      <c r="C168" s="527" t="str">
        <f>Transformation!BU40</f>
        <v>None</v>
      </c>
      <c r="D168" s="521" t="e">
        <f>LEFT(Transformation!BV40,LEN(Transformation!BV40)-1)</f>
        <v>#NUM!</v>
      </c>
      <c r="E168" s="528" t="str">
        <f>IF(Transformation!BW40="Likely payback","✓",IF(Transformation!BW40="Unlikely payback","o","x"))</f>
        <v>x</v>
      </c>
    </row>
    <row r="169" spans="1:10" ht="37.5" customHeight="1" thickBot="1" x14ac:dyDescent="0.35">
      <c r="B169" s="450" t="s">
        <v>144</v>
      </c>
      <c r="C169" s="529" t="str">
        <f>Transformation!BU41</f>
        <v>None</v>
      </c>
      <c r="D169" s="524" t="e">
        <f>LEFT(Transformation!BV41,LEN(Transformation!BV41)-1)</f>
        <v>#NUM!</v>
      </c>
      <c r="E169" s="530" t="str">
        <f>IF(Transformation!BW41="Likely payback","✓",IF(Transformation!BW41="Unlikely payback","o","x"))</f>
        <v>x</v>
      </c>
    </row>
    <row r="170" spans="1:10" ht="10.5" customHeight="1" thickBot="1" x14ac:dyDescent="0.35">
      <c r="B170" s="444"/>
      <c r="C170" s="448"/>
      <c r="D170" s="446"/>
      <c r="E170" s="447"/>
    </row>
    <row r="171" spans="1:10" ht="37.5" customHeight="1" thickBot="1" x14ac:dyDescent="0.35">
      <c r="B171" s="450" t="s">
        <v>159</v>
      </c>
      <c r="C171" s="529" t="str">
        <f>Transformation!BU42</f>
        <v>None</v>
      </c>
      <c r="D171" s="524" t="e">
        <f>LEFT(Transformation!BV42,LEN(Transformation!BV42)-1)</f>
        <v>#NUM!</v>
      </c>
      <c r="E171" s="530" t="str">
        <f>IF(Transformation!BW42="Likely payback","✓",IF(Transformation!BW42="Unlikely payback","o","x"))</f>
        <v>x</v>
      </c>
    </row>
    <row r="173" spans="1:10" x14ac:dyDescent="0.3">
      <c r="B173" s="451" t="s">
        <v>238</v>
      </c>
    </row>
    <row r="175" spans="1:10" s="457" customFormat="1" ht="15.5" x14ac:dyDescent="0.35">
      <c r="A175" s="455" t="s">
        <v>474</v>
      </c>
      <c r="B175" s="456"/>
      <c r="I175" s="477"/>
      <c r="J175" s="477"/>
    </row>
    <row r="177" spans="2:8" x14ac:dyDescent="0.3">
      <c r="B177" s="373" t="s">
        <v>462</v>
      </c>
      <c r="C177" s="374"/>
      <c r="D177" s="374"/>
      <c r="E177" s="374"/>
      <c r="F177" s="374"/>
      <c r="G177" s="374"/>
    </row>
    <row r="178" spans="2:8" x14ac:dyDescent="0.3">
      <c r="B178" s="433" t="s">
        <v>463</v>
      </c>
      <c r="C178" s="374"/>
      <c r="D178" s="374"/>
      <c r="E178" s="374"/>
      <c r="F178" s="374"/>
      <c r="G178" s="374"/>
    </row>
    <row r="179" spans="2:8" x14ac:dyDescent="0.3">
      <c r="B179" s="344"/>
    </row>
    <row r="180" spans="2:8" x14ac:dyDescent="0.3">
      <c r="B180" s="344"/>
    </row>
    <row r="181" spans="2:8" ht="25.5" thickBot="1" x14ac:dyDescent="0.35">
      <c r="B181" s="570" t="s">
        <v>473</v>
      </c>
      <c r="C181" s="570"/>
      <c r="D181" s="570"/>
      <c r="F181" s="499"/>
      <c r="G181" s="499"/>
      <c r="H181" s="499"/>
    </row>
    <row r="182" spans="2:8" ht="18.5" thickBot="1" x14ac:dyDescent="0.45">
      <c r="B182" s="500" t="s">
        <v>156</v>
      </c>
      <c r="C182" s="492">
        <v>2035</v>
      </c>
      <c r="D182" s="493">
        <v>2050</v>
      </c>
    </row>
    <row r="183" spans="2:8" ht="18" x14ac:dyDescent="0.4">
      <c r="B183" s="501" t="s">
        <v>138</v>
      </c>
      <c r="C183" s="531" t="e">
        <f>Transformation!$O$66</f>
        <v>#DIV/0!</v>
      </c>
      <c r="D183" s="532" t="e">
        <f>Transformation!$P$66</f>
        <v>#DIV/0!</v>
      </c>
    </row>
    <row r="184" spans="2:8" ht="18" x14ac:dyDescent="0.4">
      <c r="B184" s="502" t="s">
        <v>139</v>
      </c>
      <c r="C184" s="531" t="e">
        <f>Transformation!$O$65</f>
        <v>#DIV/0!</v>
      </c>
      <c r="D184" s="532" t="e">
        <f>Transformation!$P$65</f>
        <v>#DIV/0!</v>
      </c>
    </row>
    <row r="185" spans="2:8" ht="18" x14ac:dyDescent="0.4">
      <c r="B185" s="503" t="s">
        <v>140</v>
      </c>
      <c r="C185" s="531" t="e">
        <f>Transformation!$O$64</f>
        <v>#DIV/0!</v>
      </c>
      <c r="D185" s="532" t="e">
        <f>Transformation!$P$64</f>
        <v>#DIV/0!</v>
      </c>
    </row>
    <row r="186" spans="2:8" ht="18" x14ac:dyDescent="0.4">
      <c r="B186" s="504" t="s">
        <v>181</v>
      </c>
      <c r="C186" s="531" t="e">
        <f>Transformation!$O$63</f>
        <v>#DIV/0!</v>
      </c>
      <c r="D186" s="532" t="e">
        <f>Transformation!$P$63</f>
        <v>#DIV/0!</v>
      </c>
    </row>
    <row r="187" spans="2:8" ht="18" x14ac:dyDescent="0.4">
      <c r="B187" s="505" t="s">
        <v>142</v>
      </c>
      <c r="C187" s="531" t="e">
        <f>Transformation!$O$62</f>
        <v>#DIV/0!</v>
      </c>
      <c r="D187" s="532" t="e">
        <f>Transformation!$P$62</f>
        <v>#DIV/0!</v>
      </c>
    </row>
    <row r="188" spans="2:8" ht="18" x14ac:dyDescent="0.4">
      <c r="B188" s="506" t="s">
        <v>143</v>
      </c>
      <c r="C188" s="531" t="e">
        <f>Transformation!$O$61</f>
        <v>#DIV/0!</v>
      </c>
      <c r="D188" s="532" t="e">
        <f>Transformation!$P$61</f>
        <v>#DIV/0!</v>
      </c>
    </row>
    <row r="189" spans="2:8" ht="18" x14ac:dyDescent="0.4">
      <c r="B189" s="507" t="s">
        <v>144</v>
      </c>
      <c r="C189" s="531" t="e">
        <f>Transformation!$O$60</f>
        <v>#DIV/0!</v>
      </c>
      <c r="D189" s="532" t="e">
        <f>Transformation!$P$60</f>
        <v>#DIV/0!</v>
      </c>
    </row>
    <row r="190" spans="2:8" ht="18.5" thickBot="1" x14ac:dyDescent="0.45">
      <c r="B190" s="508" t="s">
        <v>180</v>
      </c>
      <c r="C190" s="531" t="e">
        <f>Transformation!$O$59</f>
        <v>#DIV/0!</v>
      </c>
      <c r="D190" s="532" t="e">
        <f>Transformation!$P$59</f>
        <v>#DIV/0!</v>
      </c>
    </row>
    <row r="191" spans="2:8" ht="16" thickBot="1" x14ac:dyDescent="0.35">
      <c r="B191" s="509" t="s">
        <v>179</v>
      </c>
      <c r="C191" s="533" t="e">
        <f>Transformation!O68</f>
        <v>#DIV/0!</v>
      </c>
      <c r="D191" s="534">
        <f>Transformation!$T$58</f>
        <v>0</v>
      </c>
    </row>
    <row r="192" spans="2:8" ht="18.5" thickBot="1" x14ac:dyDescent="0.35">
      <c r="B192" s="510" t="s">
        <v>160</v>
      </c>
      <c r="C192" s="535" t="e">
        <f>Transformation!$O$58</f>
        <v>#DIV/0!</v>
      </c>
      <c r="D192" s="536" t="e">
        <f>Transformation!$P$58</f>
        <v>#DIV/0!</v>
      </c>
    </row>
    <row r="194" spans="2:2" x14ac:dyDescent="0.3">
      <c r="B194" s="451" t="s">
        <v>460</v>
      </c>
    </row>
  </sheetData>
  <sheetProtection algorithmName="SHA-512" hashValue="RnOXBB5LFva16K9ZLNLc3JcVdrB1DNf1xY7LgxQwgqo+Xf6Xp1EBQuuZ4+kq2S2e6ygdI/lTrZ5EOFBJwFbjGg==" saltValue="j+3+pGjBRhnBmcN7Wqr9IQ==" spinCount="100000" sheet="1" objects="1" scenarios="1"/>
  <mergeCells count="6">
    <mergeCell ref="B181:D181"/>
    <mergeCell ref="C107:E108"/>
    <mergeCell ref="B161:E161"/>
    <mergeCell ref="B147:E147"/>
    <mergeCell ref="F150:F151"/>
    <mergeCell ref="F153:F155"/>
  </mergeCells>
  <phoneticPr fontId="10" type="noConversion"/>
  <conditionalFormatting sqref="C149:C157 C163:C171">
    <cfRule type="expression" dxfId="31" priority="33">
      <formula>$C149&lt;&gt;"None"</formula>
    </cfRule>
  </conditionalFormatting>
  <conditionalFormatting sqref="C192">
    <cfRule type="cellIs" dxfId="30" priority="4" operator="greaterThan">
      <formula>0.37</formula>
    </cfRule>
    <cfRule type="cellIs" dxfId="29" priority="5" operator="lessThanOrEqual">
      <formula>$C$191</formula>
    </cfRule>
  </conditionalFormatting>
  <conditionalFormatting sqref="C26:D26">
    <cfRule type="expression" dxfId="28" priority="6">
      <formula>C26&gt;0.25</formula>
    </cfRule>
  </conditionalFormatting>
  <conditionalFormatting sqref="C87:D87">
    <cfRule type="expression" dxfId="27" priority="38">
      <formula>C87&gt;1</formula>
    </cfRule>
  </conditionalFormatting>
  <conditionalFormatting sqref="D192">
    <cfRule type="cellIs" dxfId="18" priority="1" operator="lessThanOrEqual">
      <formula>0.05</formula>
    </cfRule>
    <cfRule type="cellIs" dxfId="17" priority="2" operator="between">
      <formula>5%</formula>
      <formula>10%</formula>
    </cfRule>
    <cfRule type="cellIs" dxfId="16" priority="3" operator="greaterThan">
      <formula>0.1</formula>
    </cfRule>
  </conditionalFormatting>
  <conditionalFormatting sqref="E149:E157">
    <cfRule type="expression" dxfId="15" priority="29">
      <formula>$E149="x"</formula>
    </cfRule>
    <cfRule type="expression" dxfId="14" priority="30">
      <formula>$E149="o"</formula>
    </cfRule>
    <cfRule type="expression" dxfId="13" priority="31">
      <formula>$E149="✓"</formula>
    </cfRule>
  </conditionalFormatting>
  <conditionalFormatting sqref="E163:E171">
    <cfRule type="expression" dxfId="12" priority="41">
      <formula>$E149="x"</formula>
    </cfRule>
    <cfRule type="expression" dxfId="11" priority="42">
      <formula>$E149="o"</formula>
    </cfRule>
    <cfRule type="expression" dxfId="10" priority="43">
      <formula>$E149="✓"</formula>
    </cfRule>
  </conditionalFormatting>
  <dataValidations count="1">
    <dataValidation type="list" allowBlank="1" showInputMessage="1" showErrorMessage="1" sqref="C99:D99" xr:uid="{DC620EBD-D1FA-4421-82BD-F07CAD4763E9}">
      <formula1>"Yes,No"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" id="{45775E48-7435-4234-AA6C-07E446C71BF6}">
            <xm:f>RIGHT(Transformation!$BV5,1)="+"</xm:f>
            <x14:dxf>
              <font>
                <color rgb="FFC00000"/>
              </font>
            </x14:dxf>
          </x14:cfRule>
          <x14:cfRule type="expression" priority="37" id="{F72D75A1-7084-4A35-9051-6002E26F4170}">
            <xm:f>RIGHT(Transformation!$BV5,1)="-"</xm:f>
            <x14:dxf>
              <font>
                <color theme="7"/>
              </font>
            </x14:dxf>
          </x14:cfRule>
          <xm:sqref>D149:D156</xm:sqref>
        </x14:conditionalFormatting>
        <x14:conditionalFormatting xmlns:xm="http://schemas.microsoft.com/office/excel/2006/main">
          <x14:cfRule type="expression" priority="46" id="{45775E48-7435-4234-AA6C-07E446C71BF6}">
            <xm:f>RIGHT(Transformation!$BV12,1)="+"</xm:f>
            <x14:dxf>
              <font>
                <color rgb="FFC00000"/>
              </font>
            </x14:dxf>
          </x14:cfRule>
          <x14:cfRule type="expression" priority="47" id="{F72D75A1-7084-4A35-9051-6002E26F4170}">
            <xm:f>RIGHT(Transformation!$BV12,1)="-"</xm:f>
            <x14:dxf>
              <font>
                <color theme="7"/>
              </font>
            </x14:dxf>
          </x14:cfRule>
          <xm:sqref>D157</xm:sqref>
        </x14:conditionalFormatting>
        <x14:conditionalFormatting xmlns:xm="http://schemas.microsoft.com/office/excel/2006/main">
          <x14:cfRule type="expression" priority="34" id="{A66435F1-CF0C-4ECF-B704-CA1556675B5C}">
            <xm:f>RIGHT(Transformation!$BV35,1)="-"</xm:f>
            <x14:dxf>
              <font>
                <color theme="7"/>
              </font>
            </x14:dxf>
          </x14:cfRule>
          <x14:cfRule type="expression" priority="35" id="{A33524F4-394B-4AF3-9D3E-E767051FE1D8}">
            <xm:f>RIGHT(Transformation!$BV35,1)="+"</xm:f>
            <x14:dxf>
              <font>
                <color rgb="FFC00000"/>
              </font>
            </x14:dxf>
          </x14:cfRule>
          <xm:sqref>D163:D170</xm:sqref>
        </x14:conditionalFormatting>
        <x14:conditionalFormatting xmlns:xm="http://schemas.microsoft.com/office/excel/2006/main">
          <x14:cfRule type="expression" priority="55" id="{A66435F1-CF0C-4ECF-B704-CA1556675B5C}">
            <xm:f>RIGHT(Transformation!$BV42,1)="-"</xm:f>
            <x14:dxf>
              <font>
                <color theme="7"/>
              </font>
            </x14:dxf>
          </x14:cfRule>
          <x14:cfRule type="expression" priority="56" id="{A33524F4-394B-4AF3-9D3E-E767051FE1D8}">
            <xm:f>RIGHT(Transformation!$BV42,1)="+"</xm:f>
            <x14:dxf>
              <font>
                <color rgb="FFC00000"/>
              </font>
            </x14:dxf>
          </x14:cfRule>
          <xm:sqref>D171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B1377-DE49-4952-9BAD-D503AC054D80}">
  <sheetPr>
    <tabColor theme="6"/>
  </sheetPr>
  <dimension ref="A1:AF66"/>
  <sheetViews>
    <sheetView topLeftCell="U1" zoomScale="90" zoomScaleNormal="90" workbookViewId="0">
      <selection activeCell="AB19" sqref="AB19"/>
    </sheetView>
  </sheetViews>
  <sheetFormatPr defaultColWidth="15.296875" defaultRowHeight="15.5" x14ac:dyDescent="0.35"/>
  <cols>
    <col min="1" max="1" width="23.296875" style="19" customWidth="1"/>
    <col min="2" max="2" width="28.59765625" style="19" bestFit="1" customWidth="1"/>
    <col min="3" max="3" width="26.69921875" style="19" bestFit="1" customWidth="1"/>
    <col min="4" max="4" width="44" style="19" customWidth="1"/>
    <col min="5" max="5" width="21.09765625" style="19" customWidth="1"/>
    <col min="6" max="6" width="7" style="19" bestFit="1" customWidth="1"/>
    <col min="7" max="7" width="30.09765625" style="19" bestFit="1" customWidth="1"/>
    <col min="8" max="8" width="8" style="19" bestFit="1" customWidth="1"/>
    <col min="9" max="12" width="13.09765625" style="19" bestFit="1" customWidth="1"/>
    <col min="13" max="13" width="15" style="19" customWidth="1"/>
    <col min="14" max="14" width="16.3984375" style="19" customWidth="1"/>
    <col min="15" max="15" width="13.3984375" style="19" bestFit="1" customWidth="1"/>
    <col min="16" max="16" width="13.09765625" style="19" bestFit="1" customWidth="1"/>
    <col min="17" max="17" width="23.59765625" style="19" bestFit="1" customWidth="1"/>
    <col min="18" max="19" width="15.296875" style="19"/>
    <col min="20" max="20" width="30.3984375" style="19" bestFit="1" customWidth="1"/>
    <col min="21" max="21" width="20.09765625" style="19" customWidth="1"/>
    <col min="22" max="22" width="27.8984375" style="19" bestFit="1" customWidth="1"/>
    <col min="23" max="23" width="11.8984375" style="19" customWidth="1"/>
    <col min="24" max="25" width="15.296875" style="19"/>
    <col min="26" max="26" width="23.59765625" style="19" bestFit="1" customWidth="1"/>
    <col min="27" max="27" width="25.09765625" style="19" customWidth="1"/>
    <col min="28" max="28" width="17.3984375" style="19" bestFit="1" customWidth="1"/>
    <col min="29" max="29" width="17.8984375" style="19" bestFit="1" customWidth="1"/>
    <col min="30" max="30" width="30.59765625" style="19" bestFit="1" customWidth="1"/>
    <col min="31" max="31" width="67.09765625" style="19" bestFit="1" customWidth="1"/>
    <col min="32" max="16384" width="15.296875" style="19"/>
  </cols>
  <sheetData>
    <row r="1" spans="1:32" x14ac:dyDescent="0.35">
      <c r="A1" s="19" t="s">
        <v>239</v>
      </c>
      <c r="G1" s="19" t="s">
        <v>240</v>
      </c>
    </row>
    <row r="3" spans="1:32" x14ac:dyDescent="0.35">
      <c r="B3" s="19" t="s">
        <v>241</v>
      </c>
      <c r="C3" s="19" t="s">
        <v>242</v>
      </c>
      <c r="G3" s="24" t="s">
        <v>243</v>
      </c>
      <c r="H3" s="24" t="s">
        <v>63</v>
      </c>
      <c r="I3" s="24" t="s">
        <v>244</v>
      </c>
      <c r="J3" s="24" t="s">
        <v>245</v>
      </c>
      <c r="K3" s="24" t="s">
        <v>246</v>
      </c>
      <c r="L3" s="24" t="s">
        <v>247</v>
      </c>
      <c r="M3" s="24" t="s">
        <v>248</v>
      </c>
      <c r="N3" s="24" t="s">
        <v>249</v>
      </c>
      <c r="O3" s="24" t="s">
        <v>250</v>
      </c>
      <c r="P3" s="24" t="s">
        <v>40</v>
      </c>
      <c r="Q3" s="24" t="s">
        <v>251</v>
      </c>
      <c r="S3" s="19" t="s">
        <v>37</v>
      </c>
      <c r="T3" s="19" t="s">
        <v>252</v>
      </c>
      <c r="V3" s="19" t="s">
        <v>253</v>
      </c>
      <c r="W3" s="19" t="s">
        <v>63</v>
      </c>
      <c r="X3" s="19" t="s">
        <v>254</v>
      </c>
      <c r="Y3" s="19" t="s">
        <v>255</v>
      </c>
      <c r="Z3" s="19" t="s">
        <v>234</v>
      </c>
      <c r="AA3" s="19" t="s">
        <v>243</v>
      </c>
      <c r="AB3" s="19" t="s">
        <v>256</v>
      </c>
      <c r="AC3" s="19" t="s">
        <v>257</v>
      </c>
      <c r="AD3" s="19" t="s">
        <v>258</v>
      </c>
      <c r="AE3" s="19" t="s">
        <v>259</v>
      </c>
      <c r="AF3" s="19" t="s">
        <v>468</v>
      </c>
    </row>
    <row r="4" spans="1:32" x14ac:dyDescent="0.35">
      <c r="B4" s="19" t="s">
        <v>260</v>
      </c>
      <c r="C4" s="19">
        <v>1</v>
      </c>
      <c r="G4" s="38" t="s">
        <v>75</v>
      </c>
      <c r="H4" s="38" t="s">
        <v>261</v>
      </c>
      <c r="I4" s="38">
        <v>53.06</v>
      </c>
      <c r="J4" s="38">
        <f>0.001</f>
        <v>1E-3</v>
      </c>
      <c r="K4" s="38">
        <v>1E-4</v>
      </c>
      <c r="L4" s="38">
        <f t="shared" ref="L4:L8" si="0">I4+J4*$C$5+K4*$C$6</f>
        <v>53.1145</v>
      </c>
      <c r="M4" s="38">
        <f>EFs!$I4*$C$12</f>
        <v>5.3060000000000003E-2</v>
      </c>
      <c r="N4" s="38">
        <f>EFs!$J4*$C$12</f>
        <v>9.9999999999999995E-7</v>
      </c>
      <c r="O4" s="38">
        <f>EFs!$K4*$C$12</f>
        <v>1.0000000000000001E-7</v>
      </c>
      <c r="P4" s="38">
        <f>EFs!$L4*$C$12</f>
        <v>5.3114500000000002E-2</v>
      </c>
      <c r="Q4" s="38" t="s">
        <v>75</v>
      </c>
      <c r="S4" s="19" t="s">
        <v>112</v>
      </c>
      <c r="T4" s="19" t="s">
        <v>75</v>
      </c>
      <c r="V4" s="27" t="s">
        <v>65</v>
      </c>
      <c r="W4" s="27" t="s">
        <v>68</v>
      </c>
      <c r="X4" s="19">
        <v>1000</v>
      </c>
      <c r="AB4" s="359"/>
      <c r="AC4" s="359"/>
      <c r="AF4" s="495">
        <v>1</v>
      </c>
    </row>
    <row r="5" spans="1:32" x14ac:dyDescent="0.35">
      <c r="B5" s="19" t="s">
        <v>262</v>
      </c>
      <c r="C5" s="19">
        <v>28</v>
      </c>
      <c r="G5" t="s">
        <v>77</v>
      </c>
      <c r="H5" s="38" t="s">
        <v>72</v>
      </c>
      <c r="I5" s="38">
        <v>4.5</v>
      </c>
      <c r="J5" s="38"/>
      <c r="K5" s="38"/>
      <c r="L5" s="38">
        <f>I5+J5*$C$5+K5*$C$6</f>
        <v>4.5</v>
      </c>
      <c r="M5" s="38">
        <f>EFs!$I5*$C$12</f>
        <v>4.5000000000000005E-3</v>
      </c>
      <c r="N5" s="38">
        <f>EFs!$J5*$C$12</f>
        <v>0</v>
      </c>
      <c r="O5" s="38">
        <f>EFs!$K5*$C$12</f>
        <v>0</v>
      </c>
      <c r="P5" s="38">
        <f>EFs!$L5*$C$12</f>
        <v>4.5000000000000005E-3</v>
      </c>
      <c r="Q5" s="38" t="s">
        <v>75</v>
      </c>
      <c r="S5" s="19" t="s">
        <v>112</v>
      </c>
      <c r="T5" s="19" t="s">
        <v>77</v>
      </c>
      <c r="V5" s="27" t="s">
        <v>67</v>
      </c>
      <c r="W5" s="27" t="s">
        <v>68</v>
      </c>
      <c r="X5" s="19">
        <v>1000</v>
      </c>
      <c r="AB5" s="359">
        <v>53.6</v>
      </c>
      <c r="AC5" s="359">
        <v>193.8</v>
      </c>
      <c r="AD5" s="19" t="s">
        <v>263</v>
      </c>
      <c r="AE5" s="22" t="s">
        <v>264</v>
      </c>
      <c r="AF5" s="495">
        <v>1</v>
      </c>
    </row>
    <row r="6" spans="1:32" x14ac:dyDescent="0.35">
      <c r="B6" s="19" t="s">
        <v>265</v>
      </c>
      <c r="C6" s="19">
        <v>265</v>
      </c>
      <c r="G6" s="38" t="s">
        <v>266</v>
      </c>
      <c r="H6" s="38" t="s">
        <v>261</v>
      </c>
      <c r="I6" s="38">
        <v>62.87</v>
      </c>
      <c r="J6" s="38">
        <v>3.0000000000000001E-3</v>
      </c>
      <c r="K6" s="38">
        <v>5.9999999999999995E-4</v>
      </c>
      <c r="L6" s="38">
        <f t="shared" si="0"/>
        <v>63.113</v>
      </c>
      <c r="M6" s="38">
        <f>EFs!$I6*$C$12</f>
        <v>6.2869999999999995E-2</v>
      </c>
      <c r="N6" s="38">
        <f>EFs!$J6*$C$12</f>
        <v>3.0000000000000001E-6</v>
      </c>
      <c r="O6" s="38">
        <f>EFs!$K6*$C$12</f>
        <v>5.9999999999999997E-7</v>
      </c>
      <c r="P6" s="38">
        <f>EFs!$L6*$C$12</f>
        <v>6.3113000000000002E-2</v>
      </c>
      <c r="Q6" s="38" t="s">
        <v>266</v>
      </c>
      <c r="S6" s="19" t="s">
        <v>112</v>
      </c>
      <c r="T6" s="19" t="s">
        <v>266</v>
      </c>
      <c r="V6" s="27" t="s">
        <v>69</v>
      </c>
      <c r="W6" s="27" t="s">
        <v>80</v>
      </c>
      <c r="X6" s="19">
        <v>293.07107000000002</v>
      </c>
      <c r="Y6" s="19">
        <v>1</v>
      </c>
      <c r="Z6" t="s">
        <v>267</v>
      </c>
      <c r="AB6" s="489">
        <f>100/25</f>
        <v>4</v>
      </c>
      <c r="AC6" s="489">
        <f>200/25</f>
        <v>8</v>
      </c>
      <c r="AE6" s="22" t="s">
        <v>268</v>
      </c>
      <c r="AF6" s="495">
        <v>0.75</v>
      </c>
    </row>
    <row r="7" spans="1:32" x14ac:dyDescent="0.35">
      <c r="G7" s="38" t="s">
        <v>73</v>
      </c>
      <c r="H7" s="38" t="s">
        <v>72</v>
      </c>
      <c r="I7" s="38">
        <v>10.210000000000001</v>
      </c>
      <c r="J7" s="38">
        <v>4.0999999999999999E-4</v>
      </c>
      <c r="K7" s="38">
        <v>8.0000000000000007E-5</v>
      </c>
      <c r="L7" s="38">
        <f>I7+J7*$C$5+K7*$C$6</f>
        <v>10.242680000000002</v>
      </c>
      <c r="M7" s="38">
        <f>EFs!$I7*$C$12</f>
        <v>1.021E-2</v>
      </c>
      <c r="N7" s="38">
        <f>EFs!$J7*$C$12</f>
        <v>4.0999999999999999E-7</v>
      </c>
      <c r="O7" s="38">
        <f>EFs!$K7*$C$12</f>
        <v>8.0000000000000002E-8</v>
      </c>
      <c r="P7" s="38">
        <f>EFs!$L7*$C$12</f>
        <v>1.0242680000000002E-2</v>
      </c>
      <c r="Q7" s="38" t="s">
        <v>269</v>
      </c>
      <c r="S7" s="19" t="s">
        <v>112</v>
      </c>
      <c r="T7" s="19" t="s">
        <v>73</v>
      </c>
      <c r="V7" s="27" t="s">
        <v>71</v>
      </c>
      <c r="W7" s="27" t="s">
        <v>80</v>
      </c>
      <c r="X7" s="19">
        <v>293.07107000000002</v>
      </c>
      <c r="Y7" s="19">
        <v>1</v>
      </c>
      <c r="Z7" t="s">
        <v>267</v>
      </c>
      <c r="AB7" s="489">
        <v>7.4</v>
      </c>
      <c r="AC7" s="489">
        <v>29.93</v>
      </c>
      <c r="AE7" s="22" t="s">
        <v>270</v>
      </c>
      <c r="AF7" s="495">
        <v>0.75</v>
      </c>
    </row>
    <row r="8" spans="1:32" x14ac:dyDescent="0.35">
      <c r="A8" s="19" t="s">
        <v>271</v>
      </c>
      <c r="G8" s="38" t="s">
        <v>74</v>
      </c>
      <c r="H8" s="38" t="s">
        <v>72</v>
      </c>
      <c r="I8" s="38">
        <v>8.7799999999999994</v>
      </c>
      <c r="J8" s="38">
        <v>3.8000000000000002E-4</v>
      </c>
      <c r="K8" s="38">
        <v>8.0000000000000007E-5</v>
      </c>
      <c r="L8" s="38">
        <f t="shared" si="0"/>
        <v>8.8118400000000001</v>
      </c>
      <c r="M8" s="38">
        <f>EFs!$I8*$C$12</f>
        <v>8.7799999999999996E-3</v>
      </c>
      <c r="N8" s="38">
        <f>EFs!$J8*$C$12</f>
        <v>3.8000000000000001E-7</v>
      </c>
      <c r="O8" s="38">
        <f>EFs!$K8*$C$12</f>
        <v>8.0000000000000002E-8</v>
      </c>
      <c r="P8" s="38">
        <f>EFs!$L8*$C$12</f>
        <v>8.8118399999999996E-3</v>
      </c>
      <c r="Q8" s="38" t="s">
        <v>272</v>
      </c>
      <c r="S8" s="19" t="s">
        <v>112</v>
      </c>
      <c r="T8" s="19" t="s">
        <v>74</v>
      </c>
      <c r="V8" s="27" t="s">
        <v>73</v>
      </c>
      <c r="W8" s="27" t="s">
        <v>72</v>
      </c>
      <c r="X8" s="19">
        <f>0.138*293.07107</f>
        <v>40.443807660000004</v>
      </c>
      <c r="Y8" s="19">
        <v>0.13800000000000001</v>
      </c>
      <c r="Z8"/>
      <c r="AA8" s="19" t="s">
        <v>273</v>
      </c>
      <c r="AB8" s="489">
        <v>2.5</v>
      </c>
      <c r="AC8" s="489">
        <v>5</v>
      </c>
      <c r="AE8" s="22" t="s">
        <v>274</v>
      </c>
      <c r="AF8" s="496">
        <v>0.22812422023196544</v>
      </c>
    </row>
    <row r="9" spans="1:32" x14ac:dyDescent="0.35">
      <c r="G9" s="39" t="s">
        <v>71</v>
      </c>
      <c r="H9" s="39" t="s">
        <v>261</v>
      </c>
      <c r="I9" s="39">
        <v>75.2</v>
      </c>
      <c r="J9" s="39">
        <v>3.0000000000000001E-3</v>
      </c>
      <c r="K9" s="39">
        <v>5.9999999999999995E-4</v>
      </c>
      <c r="L9" s="39">
        <f t="shared" ref="L9:L17" si="1">I9+J9*$C$5+K9*$C$6</f>
        <v>75.443000000000012</v>
      </c>
      <c r="M9" s="38">
        <f>EFs!$I9*$C$12</f>
        <v>7.5200000000000003E-2</v>
      </c>
      <c r="N9" s="38">
        <f>EFs!$J9*$C$12</f>
        <v>3.0000000000000001E-6</v>
      </c>
      <c r="O9" s="38">
        <f>EFs!$K9*$C$12</f>
        <v>5.9999999999999997E-7</v>
      </c>
      <c r="P9" s="38">
        <f>EFs!$L9*$C$12</f>
        <v>7.544300000000001E-2</v>
      </c>
      <c r="Q9" s="39" t="s">
        <v>71</v>
      </c>
      <c r="S9" s="19" t="s">
        <v>113</v>
      </c>
      <c r="T9" s="19" t="s">
        <v>71</v>
      </c>
      <c r="V9" s="27" t="s">
        <v>74</v>
      </c>
      <c r="W9" s="27" t="s">
        <v>72</v>
      </c>
      <c r="X9" s="19">
        <f>0.125*293.07107</f>
        <v>36.633883750000003</v>
      </c>
      <c r="Y9" s="19">
        <v>0.125</v>
      </c>
      <c r="Z9"/>
      <c r="AA9" s="19" t="s">
        <v>273</v>
      </c>
      <c r="AB9" s="489">
        <v>2.15</v>
      </c>
      <c r="AC9" s="489">
        <v>4.41</v>
      </c>
      <c r="AE9" s="22" t="s">
        <v>274</v>
      </c>
      <c r="AF9" s="495">
        <v>0.22812422023196544</v>
      </c>
    </row>
    <row r="10" spans="1:32" x14ac:dyDescent="0.35">
      <c r="A10" s="19" t="s">
        <v>243</v>
      </c>
      <c r="B10" s="19" t="s">
        <v>275</v>
      </c>
      <c r="C10" s="19" t="s">
        <v>276</v>
      </c>
      <c r="D10" s="19" t="s">
        <v>277</v>
      </c>
      <c r="E10" s="19" t="s">
        <v>278</v>
      </c>
      <c r="G10" s="38" t="s">
        <v>67</v>
      </c>
      <c r="H10" s="38" t="s">
        <v>68</v>
      </c>
      <c r="I10" s="38">
        <f>823.1/2.204</f>
        <v>373.4573502722323</v>
      </c>
      <c r="J10" s="38">
        <f>0.066/2.204</f>
        <v>2.9945553539019964E-2</v>
      </c>
      <c r="K10" s="38">
        <f>0.009/2.204</f>
        <v>4.0834845735027219E-3</v>
      </c>
      <c r="L10" s="38">
        <f t="shared" si="1"/>
        <v>375.37794918330309</v>
      </c>
      <c r="M10" s="38">
        <f>EFs!$I10*$C$12</f>
        <v>0.37345735027223231</v>
      </c>
      <c r="N10" s="38">
        <f>EFs!$J10*$C$12</f>
        <v>2.9945553539019965E-5</v>
      </c>
      <c r="O10" s="38">
        <f>EFs!$K10*$C$12</f>
        <v>4.0834845735027223E-6</v>
      </c>
      <c r="P10" s="38">
        <f>EFs!$L10*$C$12</f>
        <v>0.37537794918330308</v>
      </c>
      <c r="Q10" s="40" t="s">
        <v>279</v>
      </c>
      <c r="S10" s="19" t="s">
        <v>113</v>
      </c>
      <c r="T10" s="19" t="s">
        <v>67</v>
      </c>
      <c r="V10" s="27" t="s">
        <v>75</v>
      </c>
      <c r="W10" s="27" t="s">
        <v>80</v>
      </c>
      <c r="X10" s="19">
        <v>293.07107000000002</v>
      </c>
      <c r="Y10" s="19">
        <v>1</v>
      </c>
      <c r="Z10"/>
      <c r="AB10" s="489">
        <v>3.3</v>
      </c>
      <c r="AC10" s="489">
        <v>7.66</v>
      </c>
      <c r="AE10" s="22" t="s">
        <v>274</v>
      </c>
      <c r="AF10" s="495">
        <v>0.8</v>
      </c>
    </row>
    <row r="11" spans="1:32" x14ac:dyDescent="0.35">
      <c r="B11" s="19" t="s">
        <v>280</v>
      </c>
      <c r="C11" s="19">
        <v>4.5359236999999999E-4</v>
      </c>
      <c r="D11" s="19" t="s">
        <v>70</v>
      </c>
      <c r="G11" s="38" t="s">
        <v>65</v>
      </c>
      <c r="H11" s="38" t="s">
        <v>68</v>
      </c>
      <c r="I11" s="38">
        <v>0</v>
      </c>
      <c r="J11" s="38">
        <v>0</v>
      </c>
      <c r="K11" s="38">
        <v>0</v>
      </c>
      <c r="L11" s="38">
        <f t="shared" si="1"/>
        <v>0</v>
      </c>
      <c r="M11" s="38">
        <f>EFs!$I11*$C$12</f>
        <v>0</v>
      </c>
      <c r="N11" s="38">
        <f>EFs!$J11*$C$12</f>
        <v>0</v>
      </c>
      <c r="O11" s="38">
        <f>EFs!$K11*$C$12</f>
        <v>0</v>
      </c>
      <c r="P11" s="38">
        <f>EFs!$L11*$C$12</f>
        <v>0</v>
      </c>
      <c r="Q11" s="38"/>
      <c r="S11" s="19" t="s">
        <v>113</v>
      </c>
      <c r="T11" s="19" t="s">
        <v>65</v>
      </c>
      <c r="V11" t="s">
        <v>77</v>
      </c>
      <c r="W11" s="27" t="s">
        <v>72</v>
      </c>
      <c r="X11" s="19">
        <f>0.11*293.07107</f>
        <v>32.237817700000001</v>
      </c>
      <c r="Y11" s="19">
        <v>0.11</v>
      </c>
      <c r="Z11"/>
      <c r="AA11" s="19" t="s">
        <v>281</v>
      </c>
      <c r="AB11" s="489">
        <f>2.85*0.1</f>
        <v>0.28500000000000003</v>
      </c>
      <c r="AC11" s="489">
        <f>12.62*0.1</f>
        <v>1.262</v>
      </c>
      <c r="AE11" s="22" t="s">
        <v>475</v>
      </c>
      <c r="AF11" s="495">
        <v>0.75</v>
      </c>
    </row>
    <row r="12" spans="1:32" x14ac:dyDescent="0.35">
      <c r="B12" s="19" t="s">
        <v>282</v>
      </c>
      <c r="C12" s="19">
        <v>1E-3</v>
      </c>
      <c r="D12" s="19" t="s">
        <v>70</v>
      </c>
      <c r="G12" s="38" t="s">
        <v>69</v>
      </c>
      <c r="H12" s="38" t="s">
        <v>261</v>
      </c>
      <c r="I12" s="38">
        <v>113.67</v>
      </c>
      <c r="J12" s="38">
        <v>1.0999999999999999E-2</v>
      </c>
      <c r="K12" s="38">
        <v>1.6000000000000001E-3</v>
      </c>
      <c r="L12" s="38">
        <f t="shared" si="1"/>
        <v>114.40200000000002</v>
      </c>
      <c r="M12" s="38">
        <f>EFs!$I12*$C$12</f>
        <v>0.11367000000000001</v>
      </c>
      <c r="N12" s="38">
        <f>EFs!$J12*$C$12</f>
        <v>1.1E-5</v>
      </c>
      <c r="O12" s="38">
        <f>EFs!$K12*$C$12</f>
        <v>1.6000000000000001E-6</v>
      </c>
      <c r="P12" s="38">
        <f>EFs!$L12*$C$12</f>
        <v>0.11440200000000002</v>
      </c>
      <c r="Q12" s="38" t="s">
        <v>283</v>
      </c>
      <c r="S12" s="19" t="s">
        <v>112</v>
      </c>
      <c r="T12" s="19" t="s">
        <v>69</v>
      </c>
      <c r="V12" t="s">
        <v>78</v>
      </c>
      <c r="W12" s="27" t="s">
        <v>72</v>
      </c>
      <c r="X12" s="19">
        <f>0.092*293.07107</f>
        <v>26.962538440000003</v>
      </c>
      <c r="Y12" s="19">
        <v>9.1999999999999998E-2</v>
      </c>
      <c r="Z12"/>
      <c r="AA12" s="19" t="s">
        <v>273</v>
      </c>
      <c r="AB12" s="489">
        <f>3.35*0.091</f>
        <v>0.30485000000000001</v>
      </c>
      <c r="AC12" s="489">
        <f>23.39*0.091</f>
        <v>2.1284900000000002</v>
      </c>
      <c r="AE12" s="22" t="s">
        <v>476</v>
      </c>
      <c r="AF12" s="495">
        <v>0.75</v>
      </c>
    </row>
    <row r="13" spans="1:32" x14ac:dyDescent="0.35">
      <c r="B13" s="19" t="s">
        <v>70</v>
      </c>
      <c r="C13" s="19">
        <v>1</v>
      </c>
      <c r="D13" s="19" t="s">
        <v>70</v>
      </c>
      <c r="G13" s="38" t="s">
        <v>78</v>
      </c>
      <c r="H13" s="38" t="s">
        <v>72</v>
      </c>
      <c r="I13" s="38">
        <v>5.68</v>
      </c>
      <c r="J13" s="38">
        <f>0.28/1000</f>
        <v>2.8000000000000003E-4</v>
      </c>
      <c r="K13" s="38">
        <f>0.08/1000</f>
        <v>8.0000000000000007E-5</v>
      </c>
      <c r="L13" s="38">
        <f t="shared" si="1"/>
        <v>5.7090399999999999</v>
      </c>
      <c r="M13" s="38">
        <f>EFs!$I13*$C$12</f>
        <v>5.6800000000000002E-3</v>
      </c>
      <c r="N13" s="38">
        <f>EFs!$J13*$C$12</f>
        <v>2.8000000000000002E-7</v>
      </c>
      <c r="O13" s="38">
        <f>EFs!$K13*$C$12</f>
        <v>8.0000000000000002E-8</v>
      </c>
      <c r="P13" s="38">
        <f>EFs!$L13*$C$12</f>
        <v>5.7090400000000003E-3</v>
      </c>
      <c r="Q13" s="38" t="s">
        <v>78</v>
      </c>
      <c r="S13" s="19" t="s">
        <v>112</v>
      </c>
      <c r="T13" s="19" t="s">
        <v>78</v>
      </c>
      <c r="V13" t="s">
        <v>79</v>
      </c>
      <c r="W13" s="27" t="s">
        <v>72</v>
      </c>
      <c r="X13" s="19">
        <f>0.138*293.07107</f>
        <v>40.443807660000004</v>
      </c>
      <c r="Y13" s="19">
        <v>0.13800000000000001</v>
      </c>
      <c r="Z13"/>
      <c r="AA13" s="19" t="s">
        <v>273</v>
      </c>
      <c r="AB13" s="489">
        <f>25.52/42</f>
        <v>0.60761904761904761</v>
      </c>
      <c r="AC13" s="489">
        <f>113.77/42</f>
        <v>2.7088095238095238</v>
      </c>
      <c r="AE13" s="22" t="s">
        <v>477</v>
      </c>
      <c r="AF13" s="495">
        <v>0.75</v>
      </c>
    </row>
    <row r="14" spans="1:32" x14ac:dyDescent="0.35">
      <c r="A14" s="19" t="s">
        <v>67</v>
      </c>
      <c r="B14" s="19" t="s">
        <v>66</v>
      </c>
      <c r="C14" s="19">
        <v>1E-3</v>
      </c>
      <c r="D14" s="19" t="s">
        <v>68</v>
      </c>
      <c r="G14" s="38" t="s">
        <v>79</v>
      </c>
      <c r="H14" s="38" t="s">
        <v>72</v>
      </c>
      <c r="I14" s="38">
        <v>10.29</v>
      </c>
      <c r="J14" s="38">
        <f>0.41/1000</f>
        <v>4.0999999999999999E-4</v>
      </c>
      <c r="K14" s="38">
        <f>0.08/1000</f>
        <v>8.0000000000000007E-5</v>
      </c>
      <c r="L14" s="38">
        <f t="shared" si="1"/>
        <v>10.32268</v>
      </c>
      <c r="M14" s="38">
        <f>EFs!$I14*$C$12</f>
        <v>1.0289999999999999E-2</v>
      </c>
      <c r="N14" s="38">
        <f>EFs!$J14*$C$12</f>
        <v>4.0999999999999999E-7</v>
      </c>
      <c r="O14" s="38">
        <f>EFs!$K14*$C$12</f>
        <v>8.0000000000000002E-8</v>
      </c>
      <c r="P14" s="38">
        <f>EFs!$L14*$C$12</f>
        <v>1.0322680000000001E-2</v>
      </c>
      <c r="Q14" s="38" t="s">
        <v>79</v>
      </c>
      <c r="S14" s="19" t="s">
        <v>112</v>
      </c>
      <c r="T14" s="19" t="s">
        <v>79</v>
      </c>
      <c r="V14" t="s">
        <v>81</v>
      </c>
      <c r="W14" s="27" t="s">
        <v>72</v>
      </c>
      <c r="X14" s="19">
        <f>0.15*293.07107</f>
        <v>43.960660500000003</v>
      </c>
      <c r="Y14" s="19">
        <v>0.15</v>
      </c>
      <c r="Z14"/>
      <c r="AA14" s="19" t="s">
        <v>284</v>
      </c>
      <c r="AB14" s="489">
        <v>0.5</v>
      </c>
      <c r="AC14" s="489">
        <v>2.7</v>
      </c>
      <c r="AE14" s="22" t="s">
        <v>478</v>
      </c>
      <c r="AF14" s="495">
        <v>0.75</v>
      </c>
    </row>
    <row r="15" spans="1:32" x14ac:dyDescent="0.35">
      <c r="A15" s="19" t="s">
        <v>67</v>
      </c>
      <c r="B15" s="19" t="s">
        <v>68</v>
      </c>
      <c r="C15" s="19">
        <v>1</v>
      </c>
      <c r="D15" s="19" t="s">
        <v>68</v>
      </c>
      <c r="G15" s="38" t="s">
        <v>81</v>
      </c>
      <c r="H15" s="38" t="s">
        <v>72</v>
      </c>
      <c r="I15" s="38">
        <v>10.210000000000001</v>
      </c>
      <c r="J15" s="38">
        <f>0.42/1000</f>
        <v>4.1999999999999996E-4</v>
      </c>
      <c r="K15" s="38">
        <f>0.08/1000</f>
        <v>8.0000000000000007E-5</v>
      </c>
      <c r="L15" s="38">
        <f t="shared" si="1"/>
        <v>10.242960000000002</v>
      </c>
      <c r="M15" s="38">
        <f>EFs!$I15*$C$12</f>
        <v>1.021E-2</v>
      </c>
      <c r="N15" s="38">
        <f>EFs!$J15*$C$12</f>
        <v>4.1999999999999995E-7</v>
      </c>
      <c r="O15" s="38">
        <f>EFs!$K15*$C$12</f>
        <v>8.0000000000000002E-8</v>
      </c>
      <c r="P15" s="38">
        <f>EFs!$L15*$C$12</f>
        <v>1.0242960000000002E-2</v>
      </c>
      <c r="Q15" s="38" t="s">
        <v>285</v>
      </c>
      <c r="S15" s="19" t="s">
        <v>112</v>
      </c>
      <c r="T15" s="19" t="s">
        <v>81</v>
      </c>
      <c r="V15" t="s">
        <v>82</v>
      </c>
      <c r="W15" s="27" t="s">
        <v>72</v>
      </c>
      <c r="X15" s="19">
        <f>0.138*293.07107</f>
        <v>40.443807660000004</v>
      </c>
      <c r="Y15" s="19">
        <v>0.13800000000000001</v>
      </c>
      <c r="Z15"/>
      <c r="AA15" s="19" t="s">
        <v>286</v>
      </c>
      <c r="AB15" s="489">
        <f>25.52/42</f>
        <v>0.60761904761904761</v>
      </c>
      <c r="AC15" s="489">
        <f>113.77/42</f>
        <v>2.7088095238095238</v>
      </c>
      <c r="AE15" s="22" t="s">
        <v>477</v>
      </c>
      <c r="AF15" s="495">
        <v>0.75</v>
      </c>
    </row>
    <row r="16" spans="1:32" x14ac:dyDescent="0.35">
      <c r="A16" s="19" t="s">
        <v>65</v>
      </c>
      <c r="B16" s="19" t="s">
        <v>66</v>
      </c>
      <c r="C16" s="19">
        <v>1E-3</v>
      </c>
      <c r="D16" s="19" t="s">
        <v>68</v>
      </c>
      <c r="G16" s="38" t="s">
        <v>82</v>
      </c>
      <c r="H16" s="38" t="s">
        <v>72</v>
      </c>
      <c r="I16" s="38">
        <v>10.29</v>
      </c>
      <c r="J16" s="38">
        <f>0.41/1000</f>
        <v>4.0999999999999999E-4</v>
      </c>
      <c r="K16" s="38">
        <f>0.08/1000</f>
        <v>8.0000000000000007E-5</v>
      </c>
      <c r="L16" s="38">
        <f t="shared" si="1"/>
        <v>10.32268</v>
      </c>
      <c r="M16" s="38">
        <f>EFs!$I16*$C$12</f>
        <v>1.0289999999999999E-2</v>
      </c>
      <c r="N16" s="38">
        <f>EFs!$J16*$C$12</f>
        <v>4.0999999999999999E-7</v>
      </c>
      <c r="O16" s="38">
        <f>EFs!$K16*$C$12</f>
        <v>8.0000000000000002E-8</v>
      </c>
      <c r="P16" s="38">
        <f>EFs!$L16*$C$12</f>
        <v>1.0322680000000001E-2</v>
      </c>
      <c r="Q16" s="38" t="s">
        <v>79</v>
      </c>
      <c r="S16" s="19" t="s">
        <v>112</v>
      </c>
      <c r="T16" s="19" t="s">
        <v>82</v>
      </c>
      <c r="V16" t="s">
        <v>83</v>
      </c>
      <c r="W16" s="27" t="s">
        <v>80</v>
      </c>
      <c r="X16" s="19">
        <v>293.07107000000002</v>
      </c>
      <c r="Y16" s="19">
        <v>1</v>
      </c>
      <c r="Z16" t="s">
        <v>267</v>
      </c>
      <c r="AB16" s="489">
        <f>(18.69+155.03)/25</f>
        <v>6.9488000000000003</v>
      </c>
      <c r="AC16" s="489">
        <f>(18.69+155.03)/25</f>
        <v>6.9488000000000003</v>
      </c>
      <c r="AE16" s="22" t="s">
        <v>268</v>
      </c>
      <c r="AF16" s="495">
        <v>0.75</v>
      </c>
    </row>
    <row r="17" spans="1:32" x14ac:dyDescent="0.35">
      <c r="A17" s="19" t="s">
        <v>65</v>
      </c>
      <c r="B17" s="19" t="s">
        <v>68</v>
      </c>
      <c r="C17" s="19">
        <v>1</v>
      </c>
      <c r="D17" s="19" t="s">
        <v>68</v>
      </c>
      <c r="G17" s="38" t="s">
        <v>83</v>
      </c>
      <c r="H17" s="38" t="s">
        <v>261</v>
      </c>
      <c r="I17" s="38">
        <v>103.69</v>
      </c>
      <c r="J17" s="38">
        <v>1.0999999999999999E-2</v>
      </c>
      <c r="K17" s="38">
        <v>1.6000000000000001E-3</v>
      </c>
      <c r="L17" s="38">
        <f t="shared" si="1"/>
        <v>104.42200000000001</v>
      </c>
      <c r="M17" s="38">
        <f>EFs!$I17*$C$12</f>
        <v>0.10369</v>
      </c>
      <c r="N17" s="38">
        <f>EFs!$J17*$C$12</f>
        <v>1.1E-5</v>
      </c>
      <c r="O17" s="38">
        <f>EFs!$K17*$C$12</f>
        <v>1.6000000000000001E-6</v>
      </c>
      <c r="P17" s="38">
        <f>EFs!$L17*$C$12</f>
        <v>0.10442200000000001</v>
      </c>
      <c r="Q17" s="38" t="s">
        <v>83</v>
      </c>
      <c r="S17" s="19" t="s">
        <v>112</v>
      </c>
      <c r="T17" s="19" t="s">
        <v>83</v>
      </c>
      <c r="V17" t="s">
        <v>84</v>
      </c>
      <c r="W17" s="27" t="s">
        <v>80</v>
      </c>
      <c r="X17" s="19">
        <v>293.07107000000002</v>
      </c>
      <c r="Y17" s="19">
        <v>1</v>
      </c>
      <c r="Z17" t="s">
        <v>267</v>
      </c>
      <c r="AB17" s="489">
        <f>(18.96+97.96)/25</f>
        <v>4.6767999999999992</v>
      </c>
      <c r="AC17" s="489">
        <f>(18.96+97.96)/25</f>
        <v>4.6767999999999992</v>
      </c>
      <c r="AE17" s="22" t="s">
        <v>268</v>
      </c>
      <c r="AF17" s="495">
        <v>0.75</v>
      </c>
    </row>
    <row r="18" spans="1:32" x14ac:dyDescent="0.35">
      <c r="A18" s="19" t="s">
        <v>73</v>
      </c>
      <c r="B18" s="19" t="s">
        <v>72</v>
      </c>
      <c r="C18" s="19">
        <v>1</v>
      </c>
      <c r="D18" s="19" t="s">
        <v>72</v>
      </c>
      <c r="G18" s="38" t="s">
        <v>84</v>
      </c>
      <c r="H18" s="38" t="s">
        <v>261</v>
      </c>
      <c r="I18" s="38">
        <v>93.28</v>
      </c>
      <c r="J18" s="38">
        <v>1.0999999999999999E-2</v>
      </c>
      <c r="K18" s="38">
        <v>1.6000000000000001E-3</v>
      </c>
      <c r="L18" s="38">
        <f>I18+J18*$C$5+K18*$C$6</f>
        <v>94.012000000000015</v>
      </c>
      <c r="M18" s="38">
        <f>EFs!$I18*$C$12</f>
        <v>9.3280000000000002E-2</v>
      </c>
      <c r="N18" s="38">
        <f>EFs!$J18*$C$12</f>
        <v>1.1E-5</v>
      </c>
      <c r="O18" s="38">
        <f>EFs!$K18*$C$12</f>
        <v>1.6000000000000001E-6</v>
      </c>
      <c r="P18" s="38">
        <f>EFs!$L18*$C$12</f>
        <v>9.4012000000000012E-2</v>
      </c>
      <c r="Q18" s="38" t="s">
        <v>287</v>
      </c>
      <c r="S18" s="19" t="s">
        <v>112</v>
      </c>
      <c r="T18" s="19" t="s">
        <v>84</v>
      </c>
      <c r="V18" t="s">
        <v>85</v>
      </c>
      <c r="W18" s="27" t="s">
        <v>80</v>
      </c>
      <c r="X18" s="19">
        <v>293.07107000000002</v>
      </c>
      <c r="Y18" s="19">
        <v>1</v>
      </c>
      <c r="Z18" t="s">
        <v>267</v>
      </c>
      <c r="AB18" s="489">
        <f>(18.69+21.79)/14</f>
        <v>2.8914285714285719</v>
      </c>
      <c r="AC18" s="489">
        <f>(18.69+21.79)/14</f>
        <v>2.8914285714285719</v>
      </c>
      <c r="AE18" s="22" t="s">
        <v>268</v>
      </c>
      <c r="AF18" s="495">
        <v>0.75</v>
      </c>
    </row>
    <row r="19" spans="1:32" x14ac:dyDescent="0.35">
      <c r="A19" s="19" t="s">
        <v>73</v>
      </c>
      <c r="B19" s="19" t="s">
        <v>288</v>
      </c>
      <c r="C19" s="19">
        <v>0.26417204999999999</v>
      </c>
      <c r="D19" s="19" t="s">
        <v>72</v>
      </c>
      <c r="G19" s="38" t="s">
        <v>85</v>
      </c>
      <c r="H19" s="38" t="s">
        <v>261</v>
      </c>
      <c r="I19" s="38">
        <v>97.72</v>
      </c>
      <c r="J19" s="38">
        <v>1.0999999999999999E-2</v>
      </c>
      <c r="K19" s="38">
        <v>1.6000000000000001E-3</v>
      </c>
      <c r="L19" s="38">
        <f>I19+J19*$C$5+K19*$C$6</f>
        <v>98.452000000000012</v>
      </c>
      <c r="M19" s="38">
        <f>EFs!$I19*$C$12</f>
        <v>9.7720000000000001E-2</v>
      </c>
      <c r="N19" s="38">
        <f>EFs!$J19*$C$12</f>
        <v>1.1E-5</v>
      </c>
      <c r="O19" s="38">
        <f>EFs!$K19*$C$12</f>
        <v>1.6000000000000001E-6</v>
      </c>
      <c r="P19" s="38">
        <f>EFs!$L19*$C$12</f>
        <v>9.8452000000000012E-2</v>
      </c>
      <c r="Q19" s="38" t="s">
        <v>289</v>
      </c>
      <c r="S19" s="19" t="s">
        <v>112</v>
      </c>
      <c r="T19" s="19" t="s">
        <v>85</v>
      </c>
      <c r="V19" t="s">
        <v>86</v>
      </c>
      <c r="W19" s="27" t="s">
        <v>80</v>
      </c>
      <c r="X19" s="19">
        <v>293.07107000000002</v>
      </c>
      <c r="Y19" s="19">
        <v>1</v>
      </c>
      <c r="Z19" t="s">
        <v>267</v>
      </c>
      <c r="AB19" s="489">
        <f>(18.69+16.55)/18</f>
        <v>1.9577777777777778</v>
      </c>
      <c r="AC19" s="489">
        <f>(18.69+16.55)/18</f>
        <v>1.9577777777777778</v>
      </c>
      <c r="AE19" s="22" t="s">
        <v>268</v>
      </c>
      <c r="AF19" s="495">
        <v>0.75</v>
      </c>
    </row>
    <row r="20" spans="1:32" x14ac:dyDescent="0.35">
      <c r="A20" s="19" t="s">
        <v>74</v>
      </c>
      <c r="B20" s="19" t="s">
        <v>72</v>
      </c>
      <c r="C20" s="19">
        <v>1</v>
      </c>
      <c r="D20" s="19" t="s">
        <v>72</v>
      </c>
      <c r="G20" s="38" t="s">
        <v>86</v>
      </c>
      <c r="H20" s="38" t="s">
        <v>261</v>
      </c>
      <c r="I20" s="38">
        <v>97.17</v>
      </c>
      <c r="J20" s="38">
        <v>1.0999999999999999E-2</v>
      </c>
      <c r="K20" s="38">
        <v>1.6000000000000001E-3</v>
      </c>
      <c r="L20" s="38">
        <f>I20+J20*$C$5+K20*$C$6</f>
        <v>97.902000000000015</v>
      </c>
      <c r="M20" s="38">
        <f>EFs!$I20*$C$12</f>
        <v>9.7170000000000006E-2</v>
      </c>
      <c r="N20" s="38">
        <f>EFs!$J20*$C$12</f>
        <v>1.1E-5</v>
      </c>
      <c r="O20" s="38">
        <f>EFs!$K20*$C$12</f>
        <v>1.6000000000000001E-6</v>
      </c>
      <c r="P20" s="38">
        <f>EFs!$L20*$C$12</f>
        <v>9.7902000000000017E-2</v>
      </c>
      <c r="Q20" s="38" t="s">
        <v>290</v>
      </c>
      <c r="S20" s="19" t="s">
        <v>112</v>
      </c>
      <c r="T20" s="19" t="s">
        <v>86</v>
      </c>
      <c r="V20" t="s">
        <v>87</v>
      </c>
      <c r="W20" s="27" t="s">
        <v>80</v>
      </c>
      <c r="X20" s="19">
        <v>293.07107000000002</v>
      </c>
      <c r="Y20" s="19">
        <v>1</v>
      </c>
      <c r="Z20" t="s">
        <v>267</v>
      </c>
      <c r="AB20" s="489">
        <f>100/25</f>
        <v>4</v>
      </c>
      <c r="AC20" s="489">
        <f>200/25</f>
        <v>8</v>
      </c>
      <c r="AE20" s="22" t="s">
        <v>268</v>
      </c>
      <c r="AF20" s="495">
        <v>0.75</v>
      </c>
    </row>
    <row r="21" spans="1:32" x14ac:dyDescent="0.35">
      <c r="A21" s="19" t="s">
        <v>74</v>
      </c>
      <c r="B21" s="19" t="s">
        <v>288</v>
      </c>
      <c r="C21" s="19">
        <v>0.26417204999999999</v>
      </c>
      <c r="D21" s="19" t="s">
        <v>72</v>
      </c>
      <c r="G21" s="38" t="s">
        <v>87</v>
      </c>
      <c r="H21" s="38" t="s">
        <v>261</v>
      </c>
      <c r="I21" s="38">
        <v>102.41</v>
      </c>
      <c r="J21" s="38">
        <f>32/1000</f>
        <v>3.2000000000000001E-2</v>
      </c>
      <c r="K21" s="38">
        <f>4.2/1000</f>
        <v>4.2000000000000006E-3</v>
      </c>
      <c r="L21" s="38">
        <f>I21+J21*$C$5+K21*$C$6</f>
        <v>104.419</v>
      </c>
      <c r="M21" s="38">
        <f>EFs!$I21*$C$12</f>
        <v>0.10241</v>
      </c>
      <c r="N21" s="38">
        <f>EFs!$J21*$C$12</f>
        <v>3.1999999999999999E-5</v>
      </c>
      <c r="O21" s="38">
        <f>EFs!$K21*$C$12</f>
        <v>4.2000000000000004E-6</v>
      </c>
      <c r="P21" s="38">
        <f>EFs!$L21*$C$12</f>
        <v>0.104419</v>
      </c>
      <c r="Q21" s="38" t="s">
        <v>291</v>
      </c>
      <c r="S21" s="19" t="s">
        <v>112</v>
      </c>
      <c r="T21" s="19" t="s">
        <v>87</v>
      </c>
      <c r="V21" s="145" t="s">
        <v>88</v>
      </c>
      <c r="W21" s="27" t="s">
        <v>89</v>
      </c>
      <c r="AF21"/>
    </row>
    <row r="22" spans="1:32" x14ac:dyDescent="0.35">
      <c r="A22" s="19" t="s">
        <v>266</v>
      </c>
      <c r="B22" s="19" t="s">
        <v>72</v>
      </c>
      <c r="C22" s="19">
        <v>9.0999999999999998E-2</v>
      </c>
      <c r="D22" s="19" t="s">
        <v>261</v>
      </c>
      <c r="E22" s="22" t="s">
        <v>292</v>
      </c>
      <c r="G22" s="38" t="s">
        <v>88</v>
      </c>
      <c r="H22" s="38" t="s">
        <v>89</v>
      </c>
      <c r="I22" s="38"/>
      <c r="J22" s="38"/>
      <c r="K22" s="38"/>
      <c r="L22" s="38">
        <f t="shared" ref="L22:L24" si="2">I22+J22*$C$5+K22*$C$6</f>
        <v>0</v>
      </c>
      <c r="M22" s="38">
        <f>EFs!$I22*$C$12</f>
        <v>0</v>
      </c>
      <c r="N22" s="38">
        <f>EFs!$J22*$C$12</f>
        <v>0</v>
      </c>
      <c r="O22" s="38">
        <f>EFs!$K22*$C$12</f>
        <v>0</v>
      </c>
      <c r="P22" s="38">
        <v>1</v>
      </c>
      <c r="Q22" s="38"/>
      <c r="S22" s="19" t="s">
        <v>113</v>
      </c>
      <c r="T22" s="19" t="s">
        <v>88</v>
      </c>
      <c r="V22" s="145" t="s">
        <v>90</v>
      </c>
      <c r="W22" s="27" t="s">
        <v>89</v>
      </c>
      <c r="AF22"/>
    </row>
    <row r="23" spans="1:32" x14ac:dyDescent="0.35">
      <c r="A23" s="19" t="s">
        <v>266</v>
      </c>
      <c r="B23" s="19" t="s">
        <v>288</v>
      </c>
      <c r="C23" s="19">
        <f>C22*C21</f>
        <v>2.403965655E-2</v>
      </c>
      <c r="D23" s="19" t="s">
        <v>261</v>
      </c>
      <c r="E23" s="22" t="s">
        <v>292</v>
      </c>
      <c r="G23" s="38" t="s">
        <v>90</v>
      </c>
      <c r="H23" s="38" t="s">
        <v>89</v>
      </c>
      <c r="I23" s="38"/>
      <c r="J23" s="38"/>
      <c r="K23" s="38"/>
      <c r="L23" s="38">
        <f t="shared" si="2"/>
        <v>0</v>
      </c>
      <c r="M23" s="38">
        <f>EFs!$I23*$C$12</f>
        <v>0</v>
      </c>
      <c r="N23" s="38">
        <f>EFs!$J23*$C$12</f>
        <v>0</v>
      </c>
      <c r="O23" s="38">
        <f>EFs!$K23*$C$12</f>
        <v>0</v>
      </c>
      <c r="P23" s="38">
        <v>1</v>
      </c>
      <c r="Q23" s="38"/>
      <c r="S23" s="19" t="s">
        <v>113</v>
      </c>
      <c r="T23" s="19" t="s">
        <v>90</v>
      </c>
      <c r="V23" s="145" t="s">
        <v>91</v>
      </c>
      <c r="W23" s="145" t="s">
        <v>89</v>
      </c>
      <c r="AF23"/>
    </row>
    <row r="24" spans="1:32" x14ac:dyDescent="0.35">
      <c r="A24" s="19" t="s">
        <v>266</v>
      </c>
      <c r="B24" s="19" t="s">
        <v>80</v>
      </c>
      <c r="C24" s="19">
        <v>1</v>
      </c>
      <c r="D24" s="19" t="s">
        <v>261</v>
      </c>
      <c r="E24" s="22" t="s">
        <v>293</v>
      </c>
      <c r="G24" s="38" t="s">
        <v>91</v>
      </c>
      <c r="H24" s="38" t="s">
        <v>89</v>
      </c>
      <c r="I24" s="38"/>
      <c r="J24" s="38"/>
      <c r="K24" s="38"/>
      <c r="L24" s="38">
        <f t="shared" si="2"/>
        <v>0</v>
      </c>
      <c r="M24" s="38">
        <f>EFs!$I24*$C$12</f>
        <v>0</v>
      </c>
      <c r="N24" s="38">
        <f>EFs!$J24*$C$12</f>
        <v>0</v>
      </c>
      <c r="O24" s="38">
        <f>EFs!$K24*$C$12</f>
        <v>0</v>
      </c>
      <c r="P24" s="38">
        <v>1</v>
      </c>
      <c r="Q24" s="38"/>
      <c r="S24" s="19" t="s">
        <v>113</v>
      </c>
      <c r="T24" s="19" t="s">
        <v>91</v>
      </c>
      <c r="V24" s="295" t="s">
        <v>172</v>
      </c>
      <c r="W24" s="296" t="s">
        <v>80</v>
      </c>
      <c r="X24" s="19">
        <v>293.07107000000002</v>
      </c>
      <c r="Y24" s="19">
        <v>1</v>
      </c>
      <c r="AB24" s="489">
        <v>18</v>
      </c>
      <c r="AC24" s="489">
        <v>70</v>
      </c>
      <c r="AE24" s="19" t="s">
        <v>294</v>
      </c>
      <c r="AF24" s="495">
        <v>0.75</v>
      </c>
    </row>
    <row r="25" spans="1:32" x14ac:dyDescent="0.35">
      <c r="A25" s="19" t="s">
        <v>266</v>
      </c>
      <c r="B25" s="19" t="s">
        <v>76</v>
      </c>
      <c r="C25" s="19">
        <v>0.1</v>
      </c>
      <c r="D25" s="19" t="s">
        <v>261</v>
      </c>
      <c r="E25" s="22" t="s">
        <v>293</v>
      </c>
      <c r="G25" s="38" t="s">
        <v>295</v>
      </c>
      <c r="H25" s="38" t="s">
        <v>261</v>
      </c>
      <c r="I25" s="38"/>
      <c r="J25" s="38">
        <v>3.2000000000000002E-3</v>
      </c>
      <c r="K25" s="38">
        <v>6.3000000000000003E-4</v>
      </c>
      <c r="L25" s="38">
        <f>I25+J25*$C$5+K25*$C$6</f>
        <v>0.25655</v>
      </c>
      <c r="M25" s="38">
        <f>EFs!$I25*$C$12</f>
        <v>0</v>
      </c>
      <c r="N25" s="38">
        <f>EFs!$J25*$C$12</f>
        <v>3.2000000000000003E-6</v>
      </c>
      <c r="O25" s="38">
        <f>EFs!$K25*$C$12</f>
        <v>6.3E-7</v>
      </c>
      <c r="P25" s="38">
        <f>EFs!$L25*$C$12</f>
        <v>2.5655000000000003E-4</v>
      </c>
      <c r="Q25" s="38" t="s">
        <v>295</v>
      </c>
    </row>
    <row r="26" spans="1:32" x14ac:dyDescent="0.35">
      <c r="A26" s="19" t="s">
        <v>75</v>
      </c>
      <c r="B26" s="19" t="s">
        <v>80</v>
      </c>
      <c r="C26" s="19">
        <v>1</v>
      </c>
      <c r="D26" s="19" t="s">
        <v>261</v>
      </c>
      <c r="E26" s="22" t="s">
        <v>293</v>
      </c>
      <c r="G26" s="38" t="s">
        <v>296</v>
      </c>
      <c r="H26" s="38"/>
      <c r="I26" s="38"/>
      <c r="J26" s="38"/>
      <c r="K26" s="38"/>
      <c r="L26" s="38">
        <f>I26+J26*$C$5+K26*$C$6</f>
        <v>0</v>
      </c>
      <c r="M26" s="38">
        <f>EFs!$I26*$C$12</f>
        <v>0</v>
      </c>
      <c r="N26" s="38">
        <f>EFs!$J26*$C$12</f>
        <v>0</v>
      </c>
      <c r="O26" s="38">
        <f>EFs!$K26*$C$12</f>
        <v>0</v>
      </c>
      <c r="P26" s="38">
        <v>9.2499999999999999E-2</v>
      </c>
      <c r="Q26" s="38" t="s">
        <v>297</v>
      </c>
    </row>
    <row r="27" spans="1:32" x14ac:dyDescent="0.35">
      <c r="A27" s="19" t="s">
        <v>75</v>
      </c>
      <c r="B27" s="19" t="s">
        <v>76</v>
      </c>
      <c r="C27" s="19">
        <v>0.1</v>
      </c>
      <c r="D27" s="19" t="s">
        <v>261</v>
      </c>
      <c r="E27" s="22" t="s">
        <v>293</v>
      </c>
      <c r="G27" s="38" t="s">
        <v>298</v>
      </c>
      <c r="H27" s="38"/>
      <c r="I27" s="38"/>
      <c r="J27" s="38"/>
      <c r="K27" s="38"/>
      <c r="L27" s="38">
        <f>I27+J27*$C$5+K27*$C$6</f>
        <v>0</v>
      </c>
      <c r="M27" s="38">
        <f>EFs!$I27*$C$12</f>
        <v>0</v>
      </c>
      <c r="N27" s="38">
        <f>EFs!$J27*$C$12</f>
        <v>0</v>
      </c>
      <c r="O27" s="38">
        <f>EFs!$K27*$C$12</f>
        <v>0</v>
      </c>
      <c r="P27" s="38">
        <v>6.7269999999999996E-2</v>
      </c>
      <c r="Q27" s="38" t="s">
        <v>297</v>
      </c>
      <c r="AC27" s="489"/>
    </row>
    <row r="28" spans="1:32" ht="16" thickBot="1" x14ac:dyDescent="0.4">
      <c r="A28" s="19" t="s">
        <v>75</v>
      </c>
      <c r="B28" s="19" t="s">
        <v>299</v>
      </c>
      <c r="C28" s="19">
        <v>0.95</v>
      </c>
      <c r="D28" s="19" t="s">
        <v>261</v>
      </c>
      <c r="E28" s="22" t="s">
        <v>293</v>
      </c>
    </row>
    <row r="29" spans="1:32" x14ac:dyDescent="0.35">
      <c r="A29" s="19" t="s">
        <v>75</v>
      </c>
      <c r="B29" s="19" t="s">
        <v>72</v>
      </c>
      <c r="C29" s="19">
        <v>0.124968</v>
      </c>
      <c r="D29" s="19" t="s">
        <v>261</v>
      </c>
      <c r="E29" s="22" t="s">
        <v>300</v>
      </c>
      <c r="K29" s="140" t="s">
        <v>301</v>
      </c>
      <c r="L29" s="130"/>
      <c r="M29" s="130"/>
      <c r="N29" s="130"/>
      <c r="O29" s="130"/>
      <c r="P29" s="131"/>
    </row>
    <row r="30" spans="1:32" x14ac:dyDescent="0.35">
      <c r="A30" s="19" t="s">
        <v>75</v>
      </c>
      <c r="B30" s="19" t="s">
        <v>302</v>
      </c>
      <c r="C30" s="19">
        <f>1.038/1000</f>
        <v>1.0380000000000001E-3</v>
      </c>
      <c r="D30" s="19" t="s">
        <v>261</v>
      </c>
      <c r="E30" s="23" t="s">
        <v>303</v>
      </c>
      <c r="K30" s="132" t="s">
        <v>241</v>
      </c>
      <c r="L30" s="19" t="s">
        <v>304</v>
      </c>
      <c r="M30" s="19" t="s">
        <v>305</v>
      </c>
      <c r="N30" s="19" t="s">
        <v>306</v>
      </c>
      <c r="P30" s="133"/>
    </row>
    <row r="31" spans="1:32" x14ac:dyDescent="0.35">
      <c r="A31" s="19" t="s">
        <v>75</v>
      </c>
      <c r="B31" s="19" t="s">
        <v>307</v>
      </c>
      <c r="C31" s="19">
        <f>1.038/1000</f>
        <v>1.0380000000000001E-3</v>
      </c>
      <c r="D31" s="19" t="s">
        <v>261</v>
      </c>
      <c r="E31" s="23" t="s">
        <v>303</v>
      </c>
      <c r="K31" s="141" t="s">
        <v>75</v>
      </c>
      <c r="L31" s="135" t="s">
        <v>308</v>
      </c>
      <c r="M31" s="135" t="s">
        <v>83</v>
      </c>
      <c r="N31" s="134" t="s">
        <v>67</v>
      </c>
      <c r="P31" s="133"/>
    </row>
    <row r="32" spans="1:32" x14ac:dyDescent="0.35">
      <c r="A32" s="19" t="s">
        <v>75</v>
      </c>
      <c r="B32" s="19" t="s">
        <v>309</v>
      </c>
      <c r="C32" s="19">
        <v>1.038</v>
      </c>
      <c r="D32" s="19" t="s">
        <v>261</v>
      </c>
      <c r="E32" s="23" t="s">
        <v>303</v>
      </c>
      <c r="K32" s="142" t="s">
        <v>77</v>
      </c>
      <c r="L32" s="135" t="s">
        <v>310</v>
      </c>
      <c r="M32" s="135" t="s">
        <v>84</v>
      </c>
      <c r="N32" s="134" t="s">
        <v>65</v>
      </c>
      <c r="P32" s="133"/>
    </row>
    <row r="33" spans="1:29" x14ac:dyDescent="0.35">
      <c r="A33" s="19" t="s">
        <v>75</v>
      </c>
      <c r="B33" s="19" t="s">
        <v>311</v>
      </c>
      <c r="C33" s="19">
        <f>1.038/10</f>
        <v>0.1038</v>
      </c>
      <c r="D33" s="19" t="s">
        <v>261</v>
      </c>
      <c r="E33" s="23" t="s">
        <v>303</v>
      </c>
      <c r="K33" s="141" t="s">
        <v>78</v>
      </c>
      <c r="L33" s="135" t="s">
        <v>71</v>
      </c>
      <c r="M33" s="135" t="s">
        <v>312</v>
      </c>
      <c r="N33" s="136" t="s">
        <v>88</v>
      </c>
      <c r="P33" s="133"/>
    </row>
    <row r="34" spans="1:29" x14ac:dyDescent="0.35">
      <c r="A34" s="19" t="s">
        <v>71</v>
      </c>
      <c r="B34" s="19" t="s">
        <v>80</v>
      </c>
      <c r="C34" s="19">
        <v>1</v>
      </c>
      <c r="D34" s="19" t="s">
        <v>261</v>
      </c>
      <c r="E34" s="19" t="s">
        <v>313</v>
      </c>
      <c r="K34" s="143" t="s">
        <v>266</v>
      </c>
      <c r="L34" s="135" t="s">
        <v>74</v>
      </c>
      <c r="M34" s="135" t="s">
        <v>314</v>
      </c>
      <c r="N34" s="136" t="s">
        <v>90</v>
      </c>
      <c r="P34" s="133"/>
    </row>
    <row r="35" spans="1:29" x14ac:dyDescent="0.35">
      <c r="A35" s="19" t="s">
        <v>71</v>
      </c>
      <c r="B35" s="19" t="s">
        <v>72</v>
      </c>
      <c r="C35" s="19">
        <v>0.13500000000000001</v>
      </c>
      <c r="D35" s="19" t="s">
        <v>261</v>
      </c>
      <c r="E35" s="19" t="s">
        <v>313</v>
      </c>
      <c r="K35" s="132"/>
      <c r="L35" s="135" t="s">
        <v>315</v>
      </c>
      <c r="M35" s="135" t="s">
        <v>87</v>
      </c>
      <c r="N35" s="136" t="s">
        <v>91</v>
      </c>
      <c r="P35" s="133"/>
    </row>
    <row r="36" spans="1:29" x14ac:dyDescent="0.35">
      <c r="A36" s="19" t="s">
        <v>71</v>
      </c>
      <c r="B36" s="19" t="s">
        <v>76</v>
      </c>
      <c r="C36" s="19">
        <v>0.1</v>
      </c>
      <c r="D36" s="19" t="s">
        <v>261</v>
      </c>
      <c r="E36" s="19" t="s">
        <v>313</v>
      </c>
      <c r="K36" s="132"/>
      <c r="L36" s="135" t="s">
        <v>316</v>
      </c>
      <c r="M36" s="135" t="s">
        <v>86</v>
      </c>
      <c r="P36" s="133"/>
    </row>
    <row r="37" spans="1:29" x14ac:dyDescent="0.35">
      <c r="A37" s="19" t="s">
        <v>69</v>
      </c>
      <c r="B37" s="19" t="s">
        <v>80</v>
      </c>
      <c r="C37" s="19">
        <v>1</v>
      </c>
      <c r="D37" s="19" t="s">
        <v>261</v>
      </c>
      <c r="E37" s="19" t="s">
        <v>313</v>
      </c>
      <c r="K37" s="132"/>
      <c r="P37" s="133"/>
    </row>
    <row r="38" spans="1:29" x14ac:dyDescent="0.35">
      <c r="A38" s="19" t="s">
        <v>69</v>
      </c>
      <c r="B38" s="19" t="s">
        <v>70</v>
      </c>
      <c r="C38" s="19">
        <f>24.8/0.9072</f>
        <v>27.336860670194003</v>
      </c>
      <c r="D38" s="19" t="s">
        <v>261</v>
      </c>
      <c r="E38" s="19" t="s">
        <v>313</v>
      </c>
      <c r="K38" s="144" t="s">
        <v>317</v>
      </c>
      <c r="O38" s="576" t="s">
        <v>318</v>
      </c>
      <c r="P38" s="577"/>
    </row>
    <row r="39" spans="1:29" x14ac:dyDescent="0.35">
      <c r="A39" s="19" t="s">
        <v>78</v>
      </c>
      <c r="B39" s="19" t="s">
        <v>288</v>
      </c>
      <c r="C39" s="19">
        <v>0.26417204999999999</v>
      </c>
      <c r="D39" s="19" t="s">
        <v>72</v>
      </c>
      <c r="K39" s="132" t="s">
        <v>319</v>
      </c>
      <c r="O39" s="576"/>
      <c r="P39" s="577"/>
    </row>
    <row r="40" spans="1:29" x14ac:dyDescent="0.35">
      <c r="A40" s="19" t="s">
        <v>78</v>
      </c>
      <c r="B40" s="19" t="s">
        <v>72</v>
      </c>
      <c r="C40" s="19">
        <v>1</v>
      </c>
      <c r="D40" s="19" t="s">
        <v>72</v>
      </c>
      <c r="K40" s="132" t="s">
        <v>320</v>
      </c>
      <c r="O40" s="576"/>
      <c r="P40" s="577"/>
    </row>
    <row r="41" spans="1:29" ht="16" thickBot="1" x14ac:dyDescent="0.4">
      <c r="A41" t="s">
        <v>77</v>
      </c>
      <c r="B41" s="19" t="s">
        <v>80</v>
      </c>
      <c r="C41" s="19">
        <f>1/0.0877</f>
        <v>11.402508551881414</v>
      </c>
      <c r="D41" s="19" t="s">
        <v>72</v>
      </c>
      <c r="E41" s="124" t="s">
        <v>321</v>
      </c>
      <c r="K41" s="137" t="s">
        <v>322</v>
      </c>
      <c r="L41" s="138"/>
      <c r="M41" s="138"/>
      <c r="N41" s="138"/>
      <c r="O41" s="138"/>
      <c r="P41" s="139"/>
      <c r="Z41" s="20"/>
      <c r="AA41" s="20"/>
      <c r="AB41" s="20"/>
      <c r="AC41" s="21"/>
    </row>
    <row r="42" spans="1:29" x14ac:dyDescent="0.35">
      <c r="A42" t="s">
        <v>77</v>
      </c>
      <c r="B42" s="19" t="s">
        <v>307</v>
      </c>
      <c r="C42" s="19">
        <f>1/81.5</f>
        <v>1.2269938650306749E-2</v>
      </c>
      <c r="D42" s="19" t="s">
        <v>72</v>
      </c>
      <c r="E42" s="124" t="s">
        <v>321</v>
      </c>
      <c r="Z42" s="20"/>
      <c r="AA42" s="20"/>
      <c r="AB42" s="20"/>
      <c r="AC42" s="21"/>
    </row>
    <row r="43" spans="1:29" x14ac:dyDescent="0.35">
      <c r="A43" t="s">
        <v>77</v>
      </c>
      <c r="B43" s="19" t="s">
        <v>72</v>
      </c>
      <c r="C43" s="19">
        <v>1</v>
      </c>
      <c r="D43" s="19" t="s">
        <v>72</v>
      </c>
      <c r="E43" s="124" t="s">
        <v>321</v>
      </c>
    </row>
    <row r="44" spans="1:29" x14ac:dyDescent="0.35">
      <c r="A44" t="s">
        <v>77</v>
      </c>
      <c r="B44" s="19" t="s">
        <v>323</v>
      </c>
      <c r="C44" s="19">
        <f>1/2.309</f>
        <v>0.43308791684711995</v>
      </c>
      <c r="D44" s="19" t="s">
        <v>72</v>
      </c>
      <c r="E44" s="124" t="s">
        <v>321</v>
      </c>
    </row>
    <row r="45" spans="1:29" x14ac:dyDescent="0.35">
      <c r="A45" t="s">
        <v>77</v>
      </c>
      <c r="B45" s="19" t="s">
        <v>299</v>
      </c>
      <c r="C45" s="19">
        <f>1/0.0925</f>
        <v>10.810810810810811</v>
      </c>
      <c r="D45" s="19" t="s">
        <v>72</v>
      </c>
      <c r="E45" s="124" t="s">
        <v>321</v>
      </c>
    </row>
    <row r="46" spans="1:29" x14ac:dyDescent="0.35">
      <c r="A46" s="19" t="s">
        <v>79</v>
      </c>
      <c r="B46" s="19" t="s">
        <v>72</v>
      </c>
      <c r="C46" s="19">
        <v>1</v>
      </c>
      <c r="D46" s="19" t="s">
        <v>72</v>
      </c>
      <c r="E46" s="19" t="s">
        <v>313</v>
      </c>
    </row>
    <row r="47" spans="1:29" x14ac:dyDescent="0.35">
      <c r="A47" s="19" t="s">
        <v>79</v>
      </c>
      <c r="B47" s="19" t="s">
        <v>80</v>
      </c>
      <c r="C47" s="19">
        <f>1/0.138</f>
        <v>7.2463768115942022</v>
      </c>
      <c r="D47" s="19" t="s">
        <v>72</v>
      </c>
      <c r="E47" s="19" t="s">
        <v>313</v>
      </c>
    </row>
    <row r="48" spans="1:29" x14ac:dyDescent="0.35">
      <c r="A48" s="19" t="s">
        <v>79</v>
      </c>
      <c r="B48" s="19" t="s">
        <v>324</v>
      </c>
      <c r="C48" s="19">
        <v>42</v>
      </c>
      <c r="D48" s="19" t="s">
        <v>72</v>
      </c>
      <c r="K48" s="129"/>
    </row>
    <row r="49" spans="1:11" x14ac:dyDescent="0.35">
      <c r="A49" s="38" t="s">
        <v>81</v>
      </c>
      <c r="B49" s="19" t="s">
        <v>72</v>
      </c>
      <c r="C49" s="19">
        <v>1</v>
      </c>
      <c r="D49" s="19" t="s">
        <v>72</v>
      </c>
    </row>
    <row r="50" spans="1:11" x14ac:dyDescent="0.35">
      <c r="A50" s="38" t="s">
        <v>81</v>
      </c>
      <c r="B50" s="19" t="s">
        <v>80</v>
      </c>
      <c r="C50" s="19">
        <f>1/0.14</f>
        <v>7.1428571428571423</v>
      </c>
      <c r="D50" s="19" t="s">
        <v>72</v>
      </c>
      <c r="E50" s="19" t="s">
        <v>313</v>
      </c>
    </row>
    <row r="51" spans="1:11" x14ac:dyDescent="0.35">
      <c r="A51" s="19" t="s">
        <v>82</v>
      </c>
      <c r="B51" s="19" t="s">
        <v>72</v>
      </c>
      <c r="C51" s="19">
        <v>1</v>
      </c>
      <c r="D51" s="19" t="s">
        <v>72</v>
      </c>
      <c r="K51" s="129"/>
    </row>
    <row r="52" spans="1:11" x14ac:dyDescent="0.35">
      <c r="A52" s="19" t="s">
        <v>82</v>
      </c>
      <c r="B52" s="19" t="s">
        <v>80</v>
      </c>
      <c r="C52" s="19">
        <f>1/0.138</f>
        <v>7.2463768115942022</v>
      </c>
      <c r="D52" s="19" t="s">
        <v>72</v>
      </c>
      <c r="E52" s="19" t="s">
        <v>313</v>
      </c>
    </row>
    <row r="53" spans="1:11" x14ac:dyDescent="0.35">
      <c r="A53" s="19" t="s">
        <v>82</v>
      </c>
      <c r="B53" s="19" t="s">
        <v>324</v>
      </c>
      <c r="C53" s="19">
        <v>42</v>
      </c>
      <c r="D53" s="19" t="s">
        <v>72</v>
      </c>
      <c r="K53" s="129"/>
    </row>
    <row r="54" spans="1:11" x14ac:dyDescent="0.35">
      <c r="A54" s="38" t="s">
        <v>83</v>
      </c>
      <c r="B54" s="19" t="s">
        <v>80</v>
      </c>
      <c r="C54" s="19">
        <v>1</v>
      </c>
      <c r="D54" s="19" t="s">
        <v>261</v>
      </c>
    </row>
    <row r="55" spans="1:11" x14ac:dyDescent="0.35">
      <c r="A55" s="38" t="s">
        <v>83</v>
      </c>
      <c r="B55" s="19" t="s">
        <v>70</v>
      </c>
      <c r="C55" s="19">
        <f>25.09/0.9072</f>
        <v>27.656525573192241</v>
      </c>
      <c r="D55" s="19" t="s">
        <v>261</v>
      </c>
      <c r="E55" s="19" t="s">
        <v>313</v>
      </c>
      <c r="K55" s="129"/>
    </row>
    <row r="56" spans="1:11" x14ac:dyDescent="0.35">
      <c r="A56" s="38" t="s">
        <v>84</v>
      </c>
      <c r="B56" s="19" t="s">
        <v>80</v>
      </c>
      <c r="C56" s="19">
        <v>1</v>
      </c>
      <c r="D56" s="19" t="s">
        <v>261</v>
      </c>
    </row>
    <row r="57" spans="1:11" x14ac:dyDescent="0.35">
      <c r="A57" s="38" t="s">
        <v>84</v>
      </c>
      <c r="B57" s="19" t="s">
        <v>70</v>
      </c>
      <c r="C57" s="19">
        <f>24.93/0.9072</f>
        <v>27.480158730158731</v>
      </c>
      <c r="D57" s="19" t="s">
        <v>261</v>
      </c>
      <c r="E57" s="19" t="s">
        <v>313</v>
      </c>
    </row>
    <row r="58" spans="1:11" x14ac:dyDescent="0.35">
      <c r="A58" s="38" t="s">
        <v>85</v>
      </c>
      <c r="B58" s="19" t="s">
        <v>80</v>
      </c>
      <c r="C58" s="19">
        <v>1</v>
      </c>
      <c r="D58" s="19" t="s">
        <v>261</v>
      </c>
    </row>
    <row r="59" spans="1:11" x14ac:dyDescent="0.35">
      <c r="A59" s="38" t="s">
        <v>85</v>
      </c>
      <c r="B59" s="19" t="s">
        <v>70</v>
      </c>
      <c r="C59" s="19">
        <f>14.21/0.9072</f>
        <v>15.663580246913581</v>
      </c>
      <c r="D59" s="19" t="s">
        <v>261</v>
      </c>
      <c r="E59" s="19" t="s">
        <v>313</v>
      </c>
    </row>
    <row r="60" spans="1:11" x14ac:dyDescent="0.35">
      <c r="A60" s="38" t="s">
        <v>86</v>
      </c>
      <c r="B60" s="19" t="s">
        <v>80</v>
      </c>
      <c r="C60" s="19">
        <v>1</v>
      </c>
      <c r="D60" s="19" t="s">
        <v>261</v>
      </c>
    </row>
    <row r="61" spans="1:11" x14ac:dyDescent="0.35">
      <c r="A61" s="38" t="s">
        <v>86</v>
      </c>
      <c r="B61" s="19" t="s">
        <v>70</v>
      </c>
      <c r="C61" s="19">
        <f>17.25/0.9072</f>
        <v>19.014550264550266</v>
      </c>
      <c r="D61" s="19" t="s">
        <v>261</v>
      </c>
      <c r="E61" s="19" t="s">
        <v>313</v>
      </c>
    </row>
    <row r="62" spans="1:11" x14ac:dyDescent="0.35">
      <c r="A62" s="38" t="s">
        <v>87</v>
      </c>
      <c r="B62" s="19" t="s">
        <v>80</v>
      </c>
      <c r="C62" s="19">
        <v>1</v>
      </c>
      <c r="D62" s="19" t="s">
        <v>261</v>
      </c>
    </row>
    <row r="63" spans="1:11" x14ac:dyDescent="0.35">
      <c r="A63" s="38" t="s">
        <v>87</v>
      </c>
      <c r="B63" s="19" t="s">
        <v>70</v>
      </c>
      <c r="C63" s="19">
        <f>30/0.9072</f>
        <v>33.06878306878307</v>
      </c>
      <c r="D63" s="19" t="s">
        <v>261</v>
      </c>
      <c r="E63" s="19" t="s">
        <v>313</v>
      </c>
    </row>
    <row r="64" spans="1:11" x14ac:dyDescent="0.35">
      <c r="A64" s="19" t="s">
        <v>88</v>
      </c>
      <c r="B64" s="19" t="s">
        <v>89</v>
      </c>
      <c r="C64" s="19">
        <v>1</v>
      </c>
      <c r="D64" s="19" t="s">
        <v>89</v>
      </c>
    </row>
    <row r="65" spans="1:4" x14ac:dyDescent="0.35">
      <c r="A65" s="19" t="s">
        <v>90</v>
      </c>
      <c r="B65" s="19" t="s">
        <v>89</v>
      </c>
      <c r="C65" s="19">
        <v>1</v>
      </c>
      <c r="D65" s="19" t="s">
        <v>89</v>
      </c>
    </row>
    <row r="66" spans="1:4" x14ac:dyDescent="0.35">
      <c r="A66" s="19" t="s">
        <v>91</v>
      </c>
      <c r="B66" s="19" t="s">
        <v>89</v>
      </c>
      <c r="C66" s="19">
        <v>1</v>
      </c>
      <c r="D66" s="19" t="s">
        <v>89</v>
      </c>
    </row>
  </sheetData>
  <mergeCells count="1">
    <mergeCell ref="O38:P40"/>
  </mergeCells>
  <phoneticPr fontId="10" type="noConversion"/>
  <conditionalFormatting sqref="AC41:AC42">
    <cfRule type="cellIs" dxfId="9" priority="1" operator="lessThan">
      <formula>0</formula>
    </cfRule>
    <cfRule type="cellIs" dxfId="8" priority="2" operator="greaterThan">
      <formula>0</formula>
    </cfRule>
  </conditionalFormatting>
  <hyperlinks>
    <hyperlink ref="E33" r:id="rId1" display="https://www.eia.gov/tools/faqs/faq.php?id=45&amp;t=8" xr:uid="{D3605D33-4E49-417F-AAAC-C3A46C635CAB}"/>
    <hyperlink ref="E28" r:id="rId2" display="https://www.enerdynamics.com/Energy-Insider_Blog/Understanding-Natural-Gas-Units-Is-Fundamental-to-Understanding-the-Gas-Industry.aspx" xr:uid="{A2C9C9E2-9EE7-4010-9732-0AF9B019AFE4}"/>
    <hyperlink ref="E29" r:id="rId3" display="https://www.convertunits.com/from/million+Btu/to/gallon" xr:uid="{C666F0FB-EE61-42E5-8EBE-376E27A24B08}"/>
    <hyperlink ref="E26" r:id="rId4" display="https://www.enerdynamics.com/Energy-Insider_Blog/Understanding-Natural-Gas-Units-Is-Fundamental-to-Understanding-the-Gas-Industry.aspx" xr:uid="{36A568CB-6C6C-4C3C-A1EF-2054480667F9}"/>
    <hyperlink ref="E27" r:id="rId5" display="https://www.enerdynamics.com/Energy-Insider_Blog/Understanding-Natural-Gas-Units-Is-Fundamental-to-Understanding-the-Gas-Industry.aspx" xr:uid="{93085160-FFB5-4679-971F-1AED75D4A868}"/>
    <hyperlink ref="E24" r:id="rId6" display="https://www.enerdynamics.com/Energy-Insider_Blog/Understanding-Natural-Gas-Units-Is-Fundamental-to-Understanding-the-Gas-Industry.aspx" xr:uid="{B6BDC0FE-50B2-47FD-A9EC-1FE5D8E829A6}"/>
    <hyperlink ref="E25" r:id="rId7" display="https://www.enerdynamics.com/Energy-Insider_Blog/Understanding-Natural-Gas-Units-Is-Fundamental-to-Understanding-the-Gas-Industry.aspx" xr:uid="{3B64C25E-5000-4AEA-8316-2113304C5796}"/>
    <hyperlink ref="E22" r:id="rId8" location=":~:text=All%20of%20the%20following%20are%20equivalent%20to%201,12%2C000%20Btu%2Flb%20Propane%3A%2010.917%20gal%20%40%2091%2C000%20Btu%2Fgal" display="https://www.enspireenergy.com/energy-conversion-calculator/ - :~:text=All%20of%20the%20following%20are%20equivalent%20to%201,12%2C000%20Btu%2Flb%20Propane%3A%2010.917%20gal%20%40%2091%2C000%20Btu%2Fgal" xr:uid="{7E4F119A-54BC-4EB9-9E12-15BB76CC6A91}"/>
    <hyperlink ref="E23" r:id="rId9" location=":~:text=All%20of%20the%20following%20are%20equivalent%20to%201,12%2C000%20Btu%2Flb%20Propane%3A%2010.917%20gal%20%40%2091%2C000%20Btu%2Fgal" display="https://www.enspireenergy.com/energy-conversion-calculator/ - :~:text=All%20of%20the%20following%20are%20equivalent%20to%201,12%2C000%20Btu%2Flb%20Propane%3A%2010.917%20gal%20%40%2091%2C000%20Btu%2Fgal" xr:uid="{A0A72037-4E7F-4A37-855B-772FFB820941}"/>
    <hyperlink ref="Q10" r:id="rId10" xr:uid="{DB09CA5B-39DE-4062-95AB-B2DCD6F9826E}"/>
    <hyperlink ref="E41" r:id="rId11" xr:uid="{CD38086C-065F-40A3-A4B1-BCDF06C179BF}"/>
    <hyperlink ref="E42" r:id="rId12" xr:uid="{3494E72B-7C71-4AEE-8B72-9CD4566562E3}"/>
    <hyperlink ref="E43" r:id="rId13" xr:uid="{5E50FD9B-40BC-44AF-A66F-E1B181EC4BF0}"/>
    <hyperlink ref="E44" r:id="rId14" xr:uid="{58F6E050-328C-4411-A051-AC57268E85D6}"/>
    <hyperlink ref="E45" r:id="rId15" xr:uid="{D575C212-E4EF-47EF-B960-F2B1ED981792}"/>
    <hyperlink ref="AE5" r:id="rId16" xr:uid="{D9D1D90D-EC06-4356-AFC7-7E35C0F09067}"/>
    <hyperlink ref="AE6" r:id="rId17" display="https://www.eia.gov/energyexplained/coal/prices-and-outlook.php" xr:uid="{20BAD92C-CDD6-4197-A934-EE32BB6C0A61}"/>
    <hyperlink ref="AE7" r:id="rId18" display="https://www.eia.gov/dnav/pet/hist/LeafHandler.ashx?n=PET&amp;s=EMA_EPPK_PWG_NUS_DPG&amp;f=M" xr:uid="{7B4C2A7F-4559-4FFB-BB1A-9B638455E709}"/>
    <hyperlink ref="AE8" r:id="rId19" display="https://www.eia.gov/dnav/pet/pet_pri_gnd_dcus_nus_a.htm" xr:uid="{E0E9CCF3-ECB6-43FE-B795-1072ED5A38E4}"/>
    <hyperlink ref="AE9" r:id="rId20" display="https://www.eia.gov/dnav/pet/pet_pri_gnd_dcus_nus_a.htm" xr:uid="{F3023BD7-12EA-45AD-92F9-8A484D3EDB71}"/>
    <hyperlink ref="AE10" r:id="rId21" display="https://www.eia.gov/dnav/pet/pet_pri_gnd_dcus_nus_a.htm" xr:uid="{B5595790-911E-4BDB-A7CD-51068711CD84}"/>
    <hyperlink ref="AE16" r:id="rId22" display="https://www.eia.gov/energyexplained/coal/prices-and-outlook.php" xr:uid="{5AC0E198-36EF-4523-9F6E-9658A20A2635}"/>
    <hyperlink ref="AE17" r:id="rId23" display="https://www.eia.gov/energyexplained/coal/prices-and-outlook.php" xr:uid="{451D3C9C-EC1B-46DB-9566-67E74A476D0F}"/>
    <hyperlink ref="AE18" r:id="rId24" display="https://www.eia.gov/energyexplained/coal/prices-and-outlook.php" xr:uid="{0826E7C4-FE8F-44EF-8026-477EC503D054}"/>
    <hyperlink ref="AE19" r:id="rId25" display="https://www.eia.gov/energyexplained/coal/prices-and-outlook.php" xr:uid="{612FD3C4-DC05-44D8-B3BE-06E47075CE22}"/>
    <hyperlink ref="AE20" r:id="rId26" display="https://www.eia.gov/energyexplained/coal/prices-and-outlook.php" xr:uid="{66F7A1FE-A1EF-40C2-847C-A1AEBD6AD582}"/>
    <hyperlink ref="AE12" r:id="rId27" display="https://www.eia.gov/energyexplained/hydrocarbon-gas-liquids/prices-for-hydrocarbon-gas-liquids.php" xr:uid="{D9678A6D-AD1D-4007-8C4D-F3965C1CB479}"/>
    <hyperlink ref="AE11" r:id="rId28" display="https://www.eia.gov/dnav/ng/hist/ngm_epg0_plc_nus_dmmbtuM.htm" xr:uid="{B21D542A-EA6C-4D09-9795-31ADCFD1B703}"/>
    <hyperlink ref="AE13" r:id="rId29" display="https://www.eia.gov/dnav/pet/hist/LeafHandler.ashx?n=pet&amp;s=f000000__3&amp;f=m" xr:uid="{A0C92740-7773-4B10-BAA7-527297B0F9F2}"/>
    <hyperlink ref="AE14" r:id="rId30" display="https://www.eia.gov/dnav/pet/hist/LeafHandler.ashx?n=PET&amp;s=EMA_EPPR_PWG_NUS_DPG&amp;f=M" xr:uid="{B93E7319-3229-485E-9D63-F3CA70FB9995}"/>
    <hyperlink ref="AE15" r:id="rId31" display="https://www.eia.gov/dnav/pet/hist/LeafHandler.ashx?n=pet&amp;s=f000000__3&amp;f=m" xr:uid="{88B77B5B-7340-48B4-B46B-C39E95F33447}"/>
  </hyperlinks>
  <pageMargins left="0.7" right="0.7" top="0.75" bottom="0.75" header="0.3" footer="0.3"/>
  <pageSetup orientation="portrait" r:id="rId32"/>
  <tableParts count="5">
    <tablePart r:id="rId33"/>
    <tablePart r:id="rId34"/>
    <tablePart r:id="rId35"/>
    <tablePart r:id="rId36"/>
    <tablePart r:id="rId37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2515-1BCB-4D7C-8CDF-2462E479448F}">
  <sheetPr>
    <tabColor theme="6"/>
  </sheetPr>
  <dimension ref="A1:CB69"/>
  <sheetViews>
    <sheetView zoomScale="80" zoomScaleNormal="80" workbookViewId="0">
      <selection activeCell="AJ32" sqref="AJ32"/>
    </sheetView>
  </sheetViews>
  <sheetFormatPr defaultRowHeight="14" x14ac:dyDescent="0.3"/>
  <cols>
    <col min="1" max="1" width="27.8984375" bestFit="1" customWidth="1"/>
    <col min="2" max="2" width="30.69921875" bestFit="1" customWidth="1"/>
    <col min="3" max="3" width="17.09765625" bestFit="1" customWidth="1"/>
    <col min="4" max="4" width="21.09765625" bestFit="1" customWidth="1"/>
    <col min="5" max="5" width="17.69921875" customWidth="1"/>
    <col min="6" max="6" width="19.59765625" bestFit="1" customWidth="1"/>
    <col min="7" max="7" width="10.59765625" bestFit="1" customWidth="1"/>
    <col min="8" max="8" width="19.8984375" bestFit="1" customWidth="1"/>
    <col min="9" max="9" width="20.8984375" bestFit="1" customWidth="1"/>
    <col min="10" max="10" width="19.09765625" bestFit="1" customWidth="1"/>
    <col min="11" max="11" width="30.69921875" bestFit="1" customWidth="1"/>
    <col min="13" max="14" width="21.296875" bestFit="1" customWidth="1"/>
    <col min="15" max="15" width="12" bestFit="1" customWidth="1"/>
    <col min="16" max="16" width="12.59765625" bestFit="1" customWidth="1"/>
    <col min="18" max="18" width="9.8984375" bestFit="1" customWidth="1"/>
    <col min="19" max="19" width="29.09765625" bestFit="1" customWidth="1"/>
    <col min="20" max="20" width="9.3984375" bestFit="1" customWidth="1"/>
    <col min="21" max="29" width="18.59765625" customWidth="1"/>
    <col min="31" max="31" width="27.8984375" bestFit="1" customWidth="1"/>
    <col min="32" max="32" width="9" bestFit="1" customWidth="1"/>
    <col min="33" max="33" width="16.09765625" bestFit="1" customWidth="1"/>
    <col min="34" max="34" width="12.8984375" bestFit="1" customWidth="1"/>
    <col min="35" max="35" width="13.69921875" bestFit="1" customWidth="1"/>
    <col min="36" max="37" width="11.3984375" bestFit="1" customWidth="1"/>
    <col min="38" max="38" width="14.8984375" bestFit="1" customWidth="1"/>
    <col min="39" max="39" width="11.3984375" bestFit="1" customWidth="1"/>
    <col min="40" max="40" width="24.3984375" bestFit="1" customWidth="1"/>
    <col min="41" max="41" width="5.3984375" bestFit="1" customWidth="1"/>
    <col min="43" max="43" width="27.8984375" bestFit="1" customWidth="1"/>
    <col min="44" max="44" width="9" bestFit="1" customWidth="1"/>
    <col min="45" max="45" width="16.09765625" bestFit="1" customWidth="1"/>
    <col min="46" max="46" width="12.8984375" bestFit="1" customWidth="1"/>
    <col min="47" max="47" width="13.69921875" bestFit="1" customWidth="1"/>
    <col min="48" max="52" width="14.296875" customWidth="1"/>
    <col min="54" max="54" width="18.3984375" customWidth="1"/>
    <col min="55" max="63" width="16.8984375" customWidth="1"/>
    <col min="66" max="66" width="16.09765625" bestFit="1" customWidth="1"/>
    <col min="67" max="67" width="19.3984375" bestFit="1" customWidth="1"/>
    <col min="68" max="68" width="22.09765625" bestFit="1" customWidth="1"/>
    <col min="69" max="70" width="22.09765625" customWidth="1"/>
    <col min="71" max="71" width="22.69921875" bestFit="1" customWidth="1"/>
    <col min="72" max="72" width="17.59765625" bestFit="1" customWidth="1"/>
    <col min="73" max="73" width="21" bestFit="1" customWidth="1"/>
    <col min="74" max="74" width="28.69921875" bestFit="1" customWidth="1"/>
    <col min="75" max="75" width="19.3984375" bestFit="1" customWidth="1"/>
    <col min="76" max="76" width="16" bestFit="1" customWidth="1"/>
    <col min="77" max="77" width="11.69921875" bestFit="1" customWidth="1"/>
    <col min="79" max="79" width="23.3984375" bestFit="1" customWidth="1"/>
    <col min="80" max="80" width="8.8984375" customWidth="1"/>
    <col min="81" max="81" width="11.8984375" bestFit="1" customWidth="1"/>
  </cols>
  <sheetData>
    <row r="1" spans="1:78" ht="16.5" customHeight="1" thickBot="1" x14ac:dyDescent="0.35">
      <c r="A1" s="578">
        <v>2035</v>
      </c>
      <c r="B1" s="578"/>
      <c r="C1" s="578"/>
      <c r="S1" t="s">
        <v>133</v>
      </c>
      <c r="AE1" t="s">
        <v>134</v>
      </c>
      <c r="AQ1" t="s">
        <v>135</v>
      </c>
      <c r="AW1" t="s">
        <v>136</v>
      </c>
      <c r="AX1" t="s">
        <v>136</v>
      </c>
      <c r="AY1" t="s">
        <v>136</v>
      </c>
      <c r="BB1" t="s">
        <v>137</v>
      </c>
    </row>
    <row r="2" spans="1:78" ht="16.5" customHeight="1" x14ac:dyDescent="0.3">
      <c r="A2" s="26" t="s">
        <v>62</v>
      </c>
      <c r="B2" s="26" t="s">
        <v>63</v>
      </c>
      <c r="C2" s="47" t="s">
        <v>64</v>
      </c>
      <c r="D2" s="119" t="s">
        <v>138</v>
      </c>
      <c r="E2" s="119" t="s">
        <v>139</v>
      </c>
      <c r="F2" s="119" t="s">
        <v>140</v>
      </c>
      <c r="G2" s="119" t="s">
        <v>141</v>
      </c>
      <c r="H2" s="119" t="s">
        <v>142</v>
      </c>
      <c r="I2" s="119" t="s">
        <v>143</v>
      </c>
      <c r="J2" s="119" t="s">
        <v>144</v>
      </c>
      <c r="K2" s="119" t="s">
        <v>145</v>
      </c>
      <c r="L2" s="119" t="s">
        <v>146</v>
      </c>
      <c r="S2" s="360" t="s">
        <v>62</v>
      </c>
      <c r="T2" s="361" t="s">
        <v>63</v>
      </c>
      <c r="U2" s="288" t="s">
        <v>138</v>
      </c>
      <c r="V2" s="288" t="s">
        <v>139</v>
      </c>
      <c r="W2" s="288" t="s">
        <v>140</v>
      </c>
      <c r="X2" s="288" t="s">
        <v>141</v>
      </c>
      <c r="Y2" s="288" t="s">
        <v>142</v>
      </c>
      <c r="Z2" s="288" t="s">
        <v>143</v>
      </c>
      <c r="AA2" s="288" t="s">
        <v>144</v>
      </c>
      <c r="AB2" s="288" t="s">
        <v>145</v>
      </c>
      <c r="AC2" s="372" t="s">
        <v>146</v>
      </c>
      <c r="AE2" s="360" t="s">
        <v>62</v>
      </c>
      <c r="AF2" s="361" t="s">
        <v>63</v>
      </c>
      <c r="AG2" s="288" t="s">
        <v>138</v>
      </c>
      <c r="AH2" s="288" t="s">
        <v>139</v>
      </c>
      <c r="AI2" s="288" t="s">
        <v>140</v>
      </c>
      <c r="AJ2" s="288" t="s">
        <v>141</v>
      </c>
      <c r="AK2" s="288" t="s">
        <v>142</v>
      </c>
      <c r="AL2" s="288" t="s">
        <v>143</v>
      </c>
      <c r="AM2" s="288" t="s">
        <v>144</v>
      </c>
      <c r="AN2" s="288" t="s">
        <v>145</v>
      </c>
      <c r="AO2" s="372" t="s">
        <v>146</v>
      </c>
      <c r="AQ2" s="360" t="s">
        <v>62</v>
      </c>
      <c r="AR2" s="361" t="s">
        <v>63</v>
      </c>
      <c r="AS2" s="288" t="s">
        <v>138</v>
      </c>
      <c r="AT2" s="288" t="s">
        <v>139</v>
      </c>
      <c r="AU2" s="288" t="s">
        <v>140</v>
      </c>
      <c r="AV2" s="288" t="s">
        <v>141</v>
      </c>
      <c r="AW2" s="288" t="s">
        <v>142</v>
      </c>
      <c r="AX2" s="288" t="s">
        <v>143</v>
      </c>
      <c r="AY2" s="288" t="s">
        <v>144</v>
      </c>
      <c r="AZ2" s="288" t="s">
        <v>145</v>
      </c>
      <c r="BB2" s="360" t="s">
        <v>62</v>
      </c>
      <c r="BC2" s="361" t="s">
        <v>63</v>
      </c>
      <c r="BD2" s="288" t="s">
        <v>138</v>
      </c>
      <c r="BE2" s="288" t="s">
        <v>139</v>
      </c>
      <c r="BF2" s="288" t="s">
        <v>140</v>
      </c>
      <c r="BG2" s="288" t="s">
        <v>141</v>
      </c>
      <c r="BH2" s="288" t="s">
        <v>142</v>
      </c>
      <c r="BI2" s="288" t="s">
        <v>143</v>
      </c>
      <c r="BJ2" s="288" t="s">
        <v>144</v>
      </c>
      <c r="BK2" s="288" t="s">
        <v>145</v>
      </c>
      <c r="BO2">
        <v>2035</v>
      </c>
    </row>
    <row r="3" spans="1:78" ht="16.5" customHeight="1" x14ac:dyDescent="0.3">
      <c r="A3" s="27" t="s">
        <v>65</v>
      </c>
      <c r="B3" s="25" t="s">
        <v>68</v>
      </c>
      <c r="C3" s="286" cm="1">
        <f t="array" ref="C3">(1+'1. Emissions Forecast'!$C$31)^(2035-'1. Emissions Forecast'!$C$10)*('2. Facility Emissions'!E18*INDEX(ConversionTable[Conversion Factor],MATCH(1,(ConversionTable[Source]='2. Facility Emissions'!C18)*(ConversionTable[Original Unit]='2. Facility Emissions'!D18),0))+'2. Facility Emissions'!J18*INDEX(ConversionTable[Conversion Factor],MATCH(1,(ConversionTable[Source]='2. Facility Emissions'!H18)*(ConversionTable[Original Unit]='2. Facility Emissions'!I18),0))+'2. Facility Emissions'!O18*INDEX(ConversionTable[Conversion Factor],MATCH(1,(ConversionTable[Source]='2. Facility Emissions'!M18)*(ConversionTable[Original Unit]='2. Facility Emissions'!N18),0))+'2. Facility Emissions'!T18*INDEX(ConversionTable[Conversion Factor],MATCH(1,(ConversionTable[Source]='2. Facility Emissions'!R18)*(ConversionTable[Original Unit]='2. Facility Emissions'!S18),0))+'2. Facility Emissions'!Y18*INDEX(ConversionTable[Conversion Factor],MATCH(1,(ConversionTable[Source]='2. Facility Emissions'!W18)*(ConversionTable[Original Unit]='2. Facility Emissions'!X18),0))+'2. Facility Emissions'!E41*INDEX(ConversionTable[Conversion Factor],MATCH(1,(ConversionTable[Source]='2. Facility Emissions'!C41)*(ConversionTable[Original Unit]='2. Facility Emissions'!D41),0))+'2. Facility Emissions'!J41*INDEX(ConversionTable[Conversion Factor],MATCH(1,(ConversionTable[Source]='2. Facility Emissions'!H41)*(ConversionTable[Original Unit]='2. Facility Emissions'!I41),0))+'2. Facility Emissions'!O41*INDEX(ConversionTable[Conversion Factor],MATCH(1,(ConversionTable[Source]='2. Facility Emissions'!M41)*(ConversionTable[Original Unit]='2. Facility Emissions'!N41),0))+'2. Facility Emissions'!T41*INDEX(ConversionTable[Conversion Factor],MATCH(1,(ConversionTable[Source]='2. Facility Emissions'!R41)*(ConversionTable[Original Unit]='2. Facility Emissions'!S41),0))+'2. Facility Emissions'!Y41*INDEX(ConversionTable[Conversion Factor],MATCH(1,(ConversionTable[Source]='2. Facility Emissions'!W41)*(ConversionTable[Original Unit]='2. Facility Emissions'!X41),0)))</f>
        <v>0</v>
      </c>
      <c r="D3" s="283">
        <f>DecarbCalcs2035[[#This Row],[Total Values]]*(1-('3. Decarbonization Strategy'!$C$26))</f>
        <v>0</v>
      </c>
      <c r="E3" s="283">
        <f>DecarbCalcs2035[[#This Row],[Energy Efficiency]]</f>
        <v>0</v>
      </c>
      <c r="F3" s="283">
        <f>DecarbCalcs2035[[#This Row],[Electrification]]</f>
        <v>0</v>
      </c>
      <c r="G3" s="283">
        <f>E4*'3. Decarbonization Strategy'!$C$75</f>
        <v>0</v>
      </c>
      <c r="H3" s="283">
        <f>E4*'3. Decarbonization Strategy'!$C$83</f>
        <v>0</v>
      </c>
      <c r="I3" s="283">
        <f>E4*'3. Decarbonization Strategy'!$C$84</f>
        <v>0</v>
      </c>
      <c r="J3" s="283">
        <f>E4*'3. Decarbonization Strategy'!$C$85</f>
        <v>0</v>
      </c>
      <c r="K3" s="283">
        <f>SUM(DecarbCalcs2035[[#This Row],[Fuel Switching]:[RECs]])</f>
        <v>0</v>
      </c>
      <c r="L3" s="283"/>
      <c r="N3" s="490"/>
      <c r="S3" s="362" t="s">
        <v>65</v>
      </c>
      <c r="T3" s="363" t="s">
        <v>68</v>
      </c>
      <c r="U3" s="382">
        <f>(DecarbCalcs2035[[#This Row],[Energy Efficiency]]-DecarbCalcs2035[[#This Row],[Total Values]])*EFs!$AB4</f>
        <v>0</v>
      </c>
      <c r="V3" s="383">
        <f>(DecarbCalcs2035[[#This Row],[Electrification]]-DecarbCalcs2035[[#This Row],[Energy Efficiency]])*EFs!$AB4</f>
        <v>0</v>
      </c>
      <c r="W3" s="382">
        <f>(DecarbCalcs2035[[#This Row],[Fuel Switching]]-DecarbCalcs2035[[#This Row],[Electrification]])*EFs!$AB4</f>
        <v>0</v>
      </c>
      <c r="X3" s="393">
        <v>0</v>
      </c>
      <c r="Y3" s="394">
        <f>(DecarbCalcs2035[[#This Row],[PPAs]])*Assumptions!G75</f>
        <v>0</v>
      </c>
      <c r="Z3" s="393">
        <f>(DecarbCalcs2035[[#This Row],[Utility Programs]])*Assumptions!G79</f>
        <v>0</v>
      </c>
      <c r="AA3" s="394">
        <f>(DecarbCalcs2035[[#This Row],[RECs]])*Assumptions!G83</f>
        <v>0</v>
      </c>
      <c r="AB3" s="383">
        <f>(DecarbCalcs2035[[#This Row],[After Renewable Electricity]]-DecarbCalcs2035[[#This Row],[RECs]])*EFs!$AB4</f>
        <v>0</v>
      </c>
      <c r="AC3" s="382"/>
      <c r="AE3" s="362" t="s">
        <v>65</v>
      </c>
      <c r="AF3" s="363" t="s">
        <v>68</v>
      </c>
      <c r="AG3" s="382">
        <f>(DecarbCalcs2035[[#This Row],[Energy Efficiency]]-DecarbCalcs2035[[#This Row],[Total Values]])*EFs!$AC4</f>
        <v>0</v>
      </c>
      <c r="AH3" s="383">
        <f>(DecarbCalcs2035[[#This Row],[Electrification]]-DecarbCalcs2035[[#This Row],[Energy Efficiency]])*EFs!$AC4</f>
        <v>0</v>
      </c>
      <c r="AI3" s="382">
        <f>(DecarbCalcs2035[[#This Row],[Fuel Switching]]-DecarbCalcs2035[[#This Row],[Electrification]])*EFs!$AC4</f>
        <v>0</v>
      </c>
      <c r="AJ3" s="393">
        <v>0</v>
      </c>
      <c r="AK3" s="394">
        <f>(DecarbCalcs2035[[#This Row],[PPAs]])*Assumptions!G76</f>
        <v>0</v>
      </c>
      <c r="AL3" s="393">
        <f>(DecarbCalcs2035[[#This Row],[Utility Programs]])*Assumptions!G80</f>
        <v>0</v>
      </c>
      <c r="AM3" s="394">
        <f>(DecarbCalcs2035[[#This Row],[RECs]])*Assumptions!G84</f>
        <v>0</v>
      </c>
      <c r="AN3" s="383">
        <f>(DecarbCalcs2035[[#This Row],[After Renewable Electricity]]-DecarbCalcs2035[[#This Row],[RECs]])*EFs!$AC4</f>
        <v>0</v>
      </c>
      <c r="AO3" s="382"/>
      <c r="AQ3" s="362" t="s">
        <v>65</v>
      </c>
      <c r="AR3" s="363" t="s">
        <v>68</v>
      </c>
      <c r="AS3" s="382">
        <f>U3*-Assumptions!$G$43</f>
        <v>0</v>
      </c>
      <c r="AT3" s="383"/>
      <c r="AU3" s="382"/>
      <c r="AV3" s="393">
        <f>(DecarbCalcs2035[[#This Row],[Onsite]]-DecarbCalcs2035[[#This Row],[Fuel Switching]])*1000/Assumptions!$G$61*Assumptions!$G$62*1000</f>
        <v>0</v>
      </c>
      <c r="AW3" s="394"/>
      <c r="AX3" s="393"/>
      <c r="AY3" s="394"/>
      <c r="AZ3" s="383"/>
      <c r="BB3" s="362" t="s">
        <v>65</v>
      </c>
      <c r="BC3" s="363" t="s">
        <v>68</v>
      </c>
      <c r="BD3" s="382">
        <f>AG3*-Assumptions!$G$44</f>
        <v>0</v>
      </c>
      <c r="BE3" s="383"/>
      <c r="BF3" s="382"/>
      <c r="BG3" s="393">
        <f>(DecarbCalcs2035[[#This Row],[Onsite]]-DecarbCalcs2035[[#This Row],[Fuel Switching]])*1000/Assumptions!$G$61*Assumptions!$G$63*1000</f>
        <v>0</v>
      </c>
      <c r="BH3" s="394"/>
      <c r="BI3" s="393"/>
      <c r="BJ3" s="394"/>
      <c r="BK3" s="383"/>
    </row>
    <row r="4" spans="1:78" ht="16.5" customHeight="1" x14ac:dyDescent="0.3">
      <c r="A4" s="27" t="s">
        <v>67</v>
      </c>
      <c r="B4" s="25" t="s">
        <v>68</v>
      </c>
      <c r="C4" s="286" cm="1">
        <f t="array" ref="C4">(1+'1. Emissions Forecast'!$C$31)^(2035-'1. Emissions Forecast'!$C$10)*('2. Facility Emissions'!E19*INDEX(ConversionTable[Conversion Factor],MATCH(1,(ConversionTable[Source]='2. Facility Emissions'!C19)*(ConversionTable[Original Unit]='2. Facility Emissions'!D19),0))+'2. Facility Emissions'!J19*INDEX(ConversionTable[Conversion Factor],MATCH(1,(ConversionTable[Source]='2. Facility Emissions'!H19)*(ConversionTable[Original Unit]='2. Facility Emissions'!I19),0))+'2. Facility Emissions'!O19*INDEX(ConversionTable[Conversion Factor],MATCH(1,(ConversionTable[Source]='2. Facility Emissions'!M19)*(ConversionTable[Original Unit]='2. Facility Emissions'!N19),0))+'2. Facility Emissions'!T19*INDEX(ConversionTable[Conversion Factor],MATCH(1,(ConversionTable[Source]='2. Facility Emissions'!R19)*(ConversionTable[Original Unit]='2. Facility Emissions'!S19),0))+'2. Facility Emissions'!Y19*INDEX(ConversionTable[Conversion Factor],MATCH(1,(ConversionTable[Source]='2. Facility Emissions'!W19)*(ConversionTable[Original Unit]='2. Facility Emissions'!X19),0))+'2. Facility Emissions'!E42*INDEX(ConversionTable[Conversion Factor],MATCH(1,(ConversionTable[Source]='2. Facility Emissions'!C42)*(ConversionTable[Original Unit]='2. Facility Emissions'!D42),0))+'2. Facility Emissions'!J42*INDEX(ConversionTable[Conversion Factor],MATCH(1,(ConversionTable[Source]='2. Facility Emissions'!H42)*(ConversionTable[Original Unit]='2. Facility Emissions'!I42),0))+'2. Facility Emissions'!O42*INDEX(ConversionTable[Conversion Factor],MATCH(1,(ConversionTable[Source]='2. Facility Emissions'!M42)*(ConversionTable[Original Unit]='2. Facility Emissions'!N42),0))+'2. Facility Emissions'!T42*INDEX(ConversionTable[Conversion Factor],MATCH(1,(ConversionTable[Source]='2. Facility Emissions'!R42)*(ConversionTable[Original Unit]='2. Facility Emissions'!S42),0))+'2. Facility Emissions'!Y42*INDEX(ConversionTable[Conversion Factor],MATCH(1,(ConversionTable[Source]='2. Facility Emissions'!W42)*(ConversionTable[Original Unit]='2. Facility Emissions'!X42),0)))</f>
        <v>0</v>
      </c>
      <c r="D4" s="283">
        <f>DecarbCalcs2035[[#This Row],[Total Values]]*(1-('3. Decarbonization Strategy'!$C$26))</f>
        <v>0</v>
      </c>
      <c r="E4" s="283" cm="1">
        <f t="array" ref="E4">(SUM((D5:D19-E5:E19)*EFs!$X$6:$X$20*EFs!$AF$6:$AF$20)/1000)*'3. Decarbonization Strategy'!$C$40+(SUM((D5:D19-E5:E19)*EFs!$X$6:$X$20*EFs!$AF$6:$AF$20)/1000)*'3. Decarbonization Strategy'!$C$39*Assumptions!$G$34+DecarbCalcs2035[[#This Row],[Energy Efficiency]]</f>
        <v>0</v>
      </c>
      <c r="F4" s="283">
        <f>DecarbCalcs2035[[#This Row],[Electrification]]</f>
        <v>0</v>
      </c>
      <c r="G4" s="283">
        <f>DecarbCalcs2035[[#This Row],[Fuel Switching]]-G3</f>
        <v>0</v>
      </c>
      <c r="H4" s="283">
        <f>DecarbCalcs2035[[#This Row],[Onsite]]-H3</f>
        <v>0</v>
      </c>
      <c r="I4" s="283">
        <f>DecarbCalcs2035[[#This Row],[PPAs]]-I3</f>
        <v>0</v>
      </c>
      <c r="J4" s="283">
        <f>DecarbCalcs2035[[#This Row],[Utility Programs]]-J3</f>
        <v>0</v>
      </c>
      <c r="K4" s="283">
        <f>DecarbCalcs2035[[#This Row],[Fuel Switching]]-SUM(G3:J3)</f>
        <v>0</v>
      </c>
      <c r="L4" s="283">
        <f>DecarbCalcs2035[[#This Row],[Energy Efficiency]]</f>
        <v>0</v>
      </c>
      <c r="O4" s="284"/>
      <c r="S4" s="364" t="s">
        <v>67</v>
      </c>
      <c r="T4" s="365" t="s">
        <v>68</v>
      </c>
      <c r="U4" s="384">
        <f>(DecarbCalcs2035[[#This Row],[Energy Efficiency]]-DecarbCalcs2035[[#This Row],[Total Values]])*EFs!$AB5</f>
        <v>0</v>
      </c>
      <c r="V4" s="385">
        <f>(DecarbCalcs2035[[#This Row],[Electrification]]-DecarbCalcs2035[[#This Row],[Energy Efficiency]])*EFs!$AB5</f>
        <v>0</v>
      </c>
      <c r="W4" s="384">
        <f>(DecarbCalcs2035[[#This Row],[Fuel Switching]]-DecarbCalcs2035[[#This Row],[Electrification]])*EFs!$AB5</f>
        <v>0</v>
      </c>
      <c r="X4" s="423">
        <f>(DecarbCalcs2035[[#This Row],[Energy Efficiency]]-DecarbCalcs2035[[#This Row],[Total Values]])*EFs!AB5</f>
        <v>0</v>
      </c>
      <c r="Y4" s="424"/>
      <c r="Z4" s="423"/>
      <c r="AA4" s="424"/>
      <c r="AB4" s="385">
        <f>(DecarbCalcs2035[[#This Row],[After Renewable Electricity]]-DecarbCalcs2035[[#This Row],[RECs]])*EFs!$AB5</f>
        <v>0</v>
      </c>
      <c r="AC4" s="384"/>
      <c r="AE4" s="364" t="s">
        <v>67</v>
      </c>
      <c r="AF4" s="365" t="s">
        <v>68</v>
      </c>
      <c r="AG4" s="384">
        <f>(DecarbCalcs2035[[#This Row],[Energy Efficiency]]-DecarbCalcs2035[[#This Row],[Total Values]])*EFs!$AC5</f>
        <v>0</v>
      </c>
      <c r="AH4" s="385">
        <f>(DecarbCalcs2035[[#This Row],[Electrification]]-DecarbCalcs2035[[#This Row],[Energy Efficiency]])*EFs!$AC5</f>
        <v>0</v>
      </c>
      <c r="AI4" s="384">
        <f>(DecarbCalcs2035[[#This Row],[Fuel Switching]]-DecarbCalcs2035[[#This Row],[Electrification]])*EFs!$AC5</f>
        <v>0</v>
      </c>
      <c r="AJ4" s="423">
        <f>(DecarbCalcs2035[[#This Row],[Energy Efficiency]]-DecarbCalcs2035[[#This Row],[Total Values]])*EFs!AC5</f>
        <v>0</v>
      </c>
      <c r="AK4" s="424"/>
      <c r="AL4" s="423"/>
      <c r="AM4" s="424"/>
      <c r="AN4" s="385">
        <f>(DecarbCalcs2035[[#This Row],[After Renewable Electricity]]-DecarbCalcs2035[[#This Row],[RECs]])*EFs!$AC5</f>
        <v>0</v>
      </c>
      <c r="AO4" s="384"/>
      <c r="AQ4" s="364" t="s">
        <v>67</v>
      </c>
      <c r="AR4" s="365" t="s">
        <v>68</v>
      </c>
      <c r="AS4" s="384">
        <f>U4*-Assumptions!$G$43</f>
        <v>0</v>
      </c>
      <c r="AT4" s="385"/>
      <c r="AU4" s="384"/>
      <c r="AV4" s="385"/>
      <c r="AW4" s="384"/>
      <c r="AX4" s="385"/>
      <c r="AY4" s="384"/>
      <c r="AZ4" s="385"/>
      <c r="BB4" s="364" t="s">
        <v>67</v>
      </c>
      <c r="BC4" s="365" t="s">
        <v>68</v>
      </c>
      <c r="BD4" s="382">
        <f>AG4*-Assumptions!$G$44</f>
        <v>0</v>
      </c>
      <c r="BE4" s="385"/>
      <c r="BF4" s="384"/>
      <c r="BG4" s="385"/>
      <c r="BH4" s="384"/>
      <c r="BI4" s="385"/>
      <c r="BJ4" s="384"/>
      <c r="BK4" s="385"/>
      <c r="BO4" s="420" t="s">
        <v>147</v>
      </c>
      <c r="BP4" s="420" t="s">
        <v>148</v>
      </c>
      <c r="BQ4" s="420" t="s">
        <v>149</v>
      </c>
      <c r="BR4" s="420" t="s">
        <v>150</v>
      </c>
      <c r="BS4" s="420" t="s">
        <v>151</v>
      </c>
      <c r="BT4" s="420" t="s">
        <v>152</v>
      </c>
      <c r="BU4" s="425" t="s">
        <v>153</v>
      </c>
      <c r="BV4" s="425" t="s">
        <v>154</v>
      </c>
      <c r="BW4" s="425" t="s">
        <v>155</v>
      </c>
    </row>
    <row r="5" spans="1:78" ht="16.5" customHeight="1" x14ac:dyDescent="0.3">
      <c r="A5" s="27" t="s">
        <v>69</v>
      </c>
      <c r="B5" s="25" t="s">
        <v>80</v>
      </c>
      <c r="C5" s="286" cm="1">
        <f t="array" ref="C5">(1+'1. Emissions Forecast'!$C$31)^(2035-'1. Emissions Forecast'!$C$10)*('2. Facility Emissions'!E20*INDEX(ConversionTable[Conversion Factor],MATCH(1,(ConversionTable[Source]='2. Facility Emissions'!C20)*(ConversionTable[Original Unit]='2. Facility Emissions'!D20),0))+'2. Facility Emissions'!J20*INDEX(ConversionTable[Conversion Factor],MATCH(1,(ConversionTable[Source]='2. Facility Emissions'!H20)*(ConversionTable[Original Unit]='2. Facility Emissions'!I20),0))+'2. Facility Emissions'!O20*INDEX(ConversionTable[Conversion Factor],MATCH(1,(ConversionTable[Source]='2. Facility Emissions'!M20)*(ConversionTable[Original Unit]='2. Facility Emissions'!N20),0))+'2. Facility Emissions'!T20*INDEX(ConversionTable[Conversion Factor],MATCH(1,(ConversionTable[Source]='2. Facility Emissions'!R20)*(ConversionTable[Original Unit]='2. Facility Emissions'!S20),0))+'2. Facility Emissions'!Y20*INDEX(ConversionTable[Conversion Factor],MATCH(1,(ConversionTable[Source]='2. Facility Emissions'!W20)*(ConversionTable[Original Unit]='2. Facility Emissions'!X20),0))+'2. Facility Emissions'!E43*INDEX(ConversionTable[Conversion Factor],MATCH(1,(ConversionTable[Source]='2. Facility Emissions'!C43)*(ConversionTable[Original Unit]='2. Facility Emissions'!D43),0))+'2. Facility Emissions'!J43*INDEX(ConversionTable[Conversion Factor],MATCH(1,(ConversionTable[Source]='2. Facility Emissions'!H43)*(ConversionTable[Original Unit]='2. Facility Emissions'!I43),0))+'2. Facility Emissions'!O43*INDEX(ConversionTable[Conversion Factor],MATCH(1,(ConversionTable[Source]='2. Facility Emissions'!M43)*(ConversionTable[Original Unit]='2. Facility Emissions'!N43),0))+'2. Facility Emissions'!T43*INDEX(ConversionTable[Conversion Factor],MATCH(1,(ConversionTable[Source]='2. Facility Emissions'!R43)*(ConversionTable[Original Unit]='2. Facility Emissions'!S43),0))+'2. Facility Emissions'!Y43*INDEX(ConversionTable[Conversion Factor],MATCH(1,(ConversionTable[Source]='2. Facility Emissions'!W43)*(ConversionTable[Original Unit]='2. Facility Emissions'!X43),0)))</f>
        <v>0</v>
      </c>
      <c r="D5" s="283">
        <f>DecarbCalcs2035[[#This Row],[Total Values]]*(1-('3. Decarbonization Strategy'!$C$26))</f>
        <v>0</v>
      </c>
      <c r="E5" s="283">
        <f>DecarbCalcs2035[[#This Row],[Energy Efficiency]]*(1-Electrification_Pct_2035)</f>
        <v>0</v>
      </c>
      <c r="F5" s="283">
        <f>DecarbCalcs2035[[#This Row],[Electrification]]-DecarbCalcs2035[[#This Row],[Energy Efficiency]]*('3. Decarbonization Strategy'!$C$48)</f>
        <v>0</v>
      </c>
      <c r="G5" s="283">
        <f>DecarbCalcs2035[[#This Row],[Fuel Switching]]</f>
        <v>0</v>
      </c>
      <c r="H5" s="283">
        <f>DecarbCalcs2035[[#This Row],[Onsite]]</f>
        <v>0</v>
      </c>
      <c r="I5" s="283">
        <f>DecarbCalcs2035[[#This Row],[PPAs]]</f>
        <v>0</v>
      </c>
      <c r="J5" s="283">
        <f>DecarbCalcs2035[[#This Row],[Utility Programs]]</f>
        <v>0</v>
      </c>
      <c r="K5" s="283">
        <f>DecarbCalcs2035[[#This Row],[Fuel Switching]]</f>
        <v>0</v>
      </c>
      <c r="L5" s="283"/>
      <c r="O5" s="284"/>
      <c r="S5" s="362" t="s">
        <v>69</v>
      </c>
      <c r="T5" s="363" t="s">
        <v>80</v>
      </c>
      <c r="U5" s="382">
        <f>(DecarbCalcs2035[[#This Row],[Energy Efficiency]]-DecarbCalcs2035[[#This Row],[Total Values]])*EFs!$AB6</f>
        <v>0</v>
      </c>
      <c r="V5" s="383">
        <f>(DecarbCalcs2035[[#This Row],[Electrification]]-DecarbCalcs2035[[#This Row],[Energy Efficiency]])*EFs!$AB6</f>
        <v>0</v>
      </c>
      <c r="W5" s="382">
        <f>(DecarbCalcs2035[[#This Row],[Fuel Switching]]-DecarbCalcs2035[[#This Row],[Electrification]])*EFs!$AB6</f>
        <v>0</v>
      </c>
      <c r="X5" s="383">
        <f>(DecarbCalcs2035[[#This Row],[Onsite]]-DecarbCalcs2035[[#This Row],[Fuel Switching]])*EFs!$AB6</f>
        <v>0</v>
      </c>
      <c r="Y5" s="382">
        <f>(DecarbCalcs2035[[#This Row],[PPAs]]-DecarbCalcs2035[[#This Row],[Onsite]])*EFs!$AB6</f>
        <v>0</v>
      </c>
      <c r="Z5" s="383">
        <f>(DecarbCalcs2035[[#This Row],[Utility Programs]]-DecarbCalcs2035[[#This Row],[PPAs]])*EFs!$AB6</f>
        <v>0</v>
      </c>
      <c r="AA5" s="382">
        <f>(DecarbCalcs2035[[#This Row],[RECs]]-DecarbCalcs2035[[#This Row],[Utility Programs]])*EFs!$AB6</f>
        <v>0</v>
      </c>
      <c r="AB5" s="383">
        <f>(DecarbCalcs2035[[#This Row],[After Renewable Electricity]]-DecarbCalcs2035[[#This Row],[RECs]])*EFs!$AB6</f>
        <v>0</v>
      </c>
      <c r="AC5" s="382"/>
      <c r="AE5" s="362" t="s">
        <v>69</v>
      </c>
      <c r="AF5" s="363" t="s">
        <v>80</v>
      </c>
      <c r="AG5" s="382">
        <f>(DecarbCalcs2035[[#This Row],[Energy Efficiency]]-DecarbCalcs2035[[#This Row],[Total Values]])*EFs!$AC6</f>
        <v>0</v>
      </c>
      <c r="AH5" s="383">
        <f>(DecarbCalcs2035[[#This Row],[Electrification]]-DecarbCalcs2035[[#This Row],[Energy Efficiency]])*EFs!$AC6</f>
        <v>0</v>
      </c>
      <c r="AI5" s="382">
        <f>(DecarbCalcs2035[[#This Row],[Fuel Switching]]-DecarbCalcs2035[[#This Row],[Electrification]])*EFs!$AC6</f>
        <v>0</v>
      </c>
      <c r="AJ5" s="383">
        <f>(DecarbCalcs2035[[#This Row],[Onsite]]-DecarbCalcs2035[[#This Row],[Fuel Switching]])*EFs!$AC6</f>
        <v>0</v>
      </c>
      <c r="AK5" s="382">
        <f>(DecarbCalcs2035[[#This Row],[PPAs]]-DecarbCalcs2035[[#This Row],[Onsite]])*EFs!$AC6</f>
        <v>0</v>
      </c>
      <c r="AL5" s="383">
        <f>(DecarbCalcs2035[[#This Row],[Utility Programs]]-DecarbCalcs2035[[#This Row],[PPAs]])*EFs!$AC6</f>
        <v>0</v>
      </c>
      <c r="AM5" s="382">
        <f>(DecarbCalcs2035[[#This Row],[RECs]]-DecarbCalcs2035[[#This Row],[Utility Programs]])*EFs!$AC6</f>
        <v>0</v>
      </c>
      <c r="AN5" s="383">
        <f>(DecarbCalcs2035[[#This Row],[After Renewable Electricity]]-DecarbCalcs2035[[#This Row],[RECs]])*EFs!$AC6</f>
        <v>0</v>
      </c>
      <c r="AO5" s="382"/>
      <c r="AQ5" s="362" t="s">
        <v>69</v>
      </c>
      <c r="AR5" s="363" t="s">
        <v>80</v>
      </c>
      <c r="AS5" s="382">
        <f>U5*-Assumptions!$G$43</f>
        <v>0</v>
      </c>
      <c r="AT5" s="383">
        <f>(DecarbCalcs2035[[#This Row],[Energy Efficiency]]-DecarbCalcs2035[[#This Row],[Electrification]])/Assumptions!$G$47*Assumptions!$G$49*EFs!Y6*'3. Decarbonization Strategy'!$C$39+(DecarbCalcs2035[[#This Row],[Energy Efficiency]]-DecarbCalcs2035[[#This Row],[Electrification]])/Assumptions!$G$48*Assumptions!$G$51*EFs!Y6*'3. Decarbonization Strategy'!$C$40</f>
        <v>0</v>
      </c>
      <c r="AU5" s="382">
        <f>(DecarbCalcs2035[[#This Row],[Electrification]]-DecarbCalcs2035[[#This Row],[Fuel Switching]])/Assumptions!$G$56*Assumptions!$G$57*EFs!Y6</f>
        <v>0</v>
      </c>
      <c r="AV5" s="383"/>
      <c r="AW5" s="382"/>
      <c r="AX5" s="383"/>
      <c r="AY5" s="382"/>
      <c r="AZ5" s="383"/>
      <c r="BB5" s="362" t="s">
        <v>69</v>
      </c>
      <c r="BC5" s="363" t="s">
        <v>80</v>
      </c>
      <c r="BD5" s="382">
        <f>AG5*-Assumptions!$G$44</f>
        <v>0</v>
      </c>
      <c r="BE5" s="383">
        <f>(DecarbCalcs2035[[#This Row],[Energy Efficiency]]-DecarbCalcs2035[[#This Row],[Electrification]])/Assumptions!$G$47*Assumptions!$G$50*'3. Decarbonization Strategy'!$C$39*EFs!Y6+(DecarbCalcs2035[[#This Row],[Energy Efficiency]]-DecarbCalcs2035[[#This Row],[Electrification]])/Assumptions!$G$48*Assumptions!$G$52*'3. Decarbonization Strategy'!$C$40*EFs!Y6</f>
        <v>0</v>
      </c>
      <c r="BF5" s="382">
        <f>(DecarbCalcs2035[[#This Row],[Electrification]]-DecarbCalcs2035[[#This Row],[Fuel Switching]])/Assumptions!$G$56*Assumptions!$G$58*EFs!Y6</f>
        <v>0</v>
      </c>
      <c r="BG5" s="383"/>
      <c r="BH5" s="382"/>
      <c r="BI5" s="383"/>
      <c r="BJ5" s="382"/>
      <c r="BK5" s="383"/>
      <c r="BN5" s="288" t="s">
        <v>138</v>
      </c>
      <c r="BO5" s="422">
        <f t="shared" ref="BO5:BO11" si="0">SUM(_xlfn.XLOOKUP(BN5,$U$2:$AC$2,$U$3:$AC$23))</f>
        <v>0</v>
      </c>
      <c r="BP5" s="422">
        <f t="shared" ref="BP5:BP11" si="1">SUM(_xlfn.XLOOKUP(BN5,$AG$2:$AO$2,$AG$3:$AO$23))</f>
        <v>0</v>
      </c>
      <c r="BQ5" s="422">
        <f>IF(ABS(BO5)&gt;ABS(BP5),BP5,BO5)</f>
        <v>0</v>
      </c>
      <c r="BR5" s="422">
        <f>IF(ABS(BP5)&lt;ABS(BO5),BO5,BP5)</f>
        <v>0</v>
      </c>
      <c r="BS5" s="422">
        <f t="shared" ref="BS5:BS11" si="2">SUM(_xlfn.XLOOKUP(BN5,$AS$2:$AZ$2,$AS$3:$AZ$23))</f>
        <v>0</v>
      </c>
      <c r="BT5" s="422">
        <f t="shared" ref="BT5:BT11" si="3">SUM(_xlfn.XLOOKUP(BN5,$BD$2:$BK$2,$BD$3:$BK$23))</f>
        <v>0</v>
      </c>
      <c r="BU5" s="464" t="str">
        <f>IF("$"&amp;ROUND(LEFT(BS5,3),-1)/INDEX($BV$16:$BV$26,MATCH(ROUNDDOWN(IF(ISERROR(LOG10(BS5)),0,IF(LOG10(BS5)&lt;0,0,LOG10(BS5))),0),$BT$16:$BT$26,0))&amp;INDEX($BU$16:$BU$26,MATCH(ROUNDDOWN(IF(ISERROR(LOG10(BS5)),0,IF(LOG10(BS5)&lt;0,0,LOG10(BS5))),0),$BT$16:$BT$26,0))&amp;" - "&amp;"$"&amp;ROUND(LEFT(BT5,3),-1)/INDEX($BV$16:$BV$26,MATCH(ROUNDDOWN(IF(ISERROR(LOG10(BT5)),0,IF(LOG10(BT5)&lt;0,0,LOG10(BT5))),0),$BT$16:$BT$26,0))&amp;INDEX($BU$16:$BU$26,MATCH(ROUNDDOWN(IF(ISERROR(LOG10(BT5)),0,IF(LOG10(BT5)&lt;0,0,LOG10(BT5))),0),$BT$16:$BT$26,0))="$0 - $0","None","$"&amp;ROUND(LEFT(BS5,3),-1)/INDEX($BV$16:$BV$26,MATCH(ROUNDDOWN(IF(ISERROR(LOG10(BS5)),0,IF(LOG10(BS5)&lt;0,0,LOG10(BS5))),0),$BT$16:$BT$26,0))&amp;INDEX($BU$16:$BU$26,MATCH(ROUNDDOWN(IF(ISERROR(LOG10(BS5)),0,IF(LOG10(BS5)&lt;0,0,LOG10(BS5))),0),$BT$16:$BT$26,0))&amp;" - "&amp;"$"&amp;ROUND(LEFT(BT5,3),-1)/INDEX($BV$16:$BV$26,MATCH(ROUNDDOWN(IF(ISERROR(LOG10(BT5)),0,IF(LOG10(BT5)&lt;0,0,LOG10(BT5))),0),$BT$16:$BT$26,0))&amp;INDEX($BU$16:$BU$26,MATCH(ROUNDDOWN(IF(ISERROR(LOG10(BT5)),0,IF(LOG10(BT5)&lt;0,0,LOG10(BT5))),0),$BT$16:$BT$26,0)))</f>
        <v>None</v>
      </c>
      <c r="BV5" s="341" t="e">
        <f t="shared" ref="BV5:BV12" si="4">IFERROR("$"&amp;ROUND(LEFT(ABS(BQ5),3),-1)/INDEX($BV$17:$BV$26,MATCH(ROUNDDOWN(LOG10(ABS(BQ5)),0),$BT$17:$BT$26,0))&amp;INDEX($BU$17:$BU$26,MATCH(ROUNDDOWN(LOG10(ABS(BQ5)),0),$BT$17:$BT$26,0))&amp;" - "&amp;"$"&amp;ROUND(LEFT(ABS(BR5),3),-1)/INDEX($BV$17:$BV$26,MATCH(ROUNDDOWN(LOG10(ABS(BR5)),0),$BT$17:$BT$26,0))&amp;INDEX($BU$17:$BU$26,MATCH(ROUNDDOWN(LOG10(ABS(BR5)),0),$BT$17:$BT$26,0)),"$"&amp;0&amp;" - "&amp;"$"&amp;ROUND(LEFT(ABS(BR5),3),-1)/INDEX($BV$17:$BV$26,MATCH(ROUNDDOWN(LOG10(ABS(BR5)),0),$BT$17:$BT$26,0))&amp;INDEX($BU$17:$BU$26,MATCH(ROUNDDOWN(LOG10(ABS(BR5)),0),$BT$17:$BT$26,0)))&amp;IF(AVERAGE(BQ5:BR5)&lt;0,"-","+")</f>
        <v>#NUM!</v>
      </c>
      <c r="BW5" s="421" t="str">
        <f t="shared" ref="BW5:BW12" si="5">IFERROR(INDEX($BO$16:$BO$20,MATCH(AVERAGE(BS5:BT5)/-AVERAGE(BO5:BP5),$BP$16:$BP$20,1)),"No expense savings")</f>
        <v>No expense savings</v>
      </c>
      <c r="BZ5" s="381"/>
    </row>
    <row r="6" spans="1:78" ht="16.5" customHeight="1" x14ac:dyDescent="0.3">
      <c r="A6" s="27" t="s">
        <v>71</v>
      </c>
      <c r="B6" s="25" t="s">
        <v>80</v>
      </c>
      <c r="C6" s="286" cm="1">
        <f t="array" ref="C6">(1+'1. Emissions Forecast'!$C$31)^(2035-'1. Emissions Forecast'!$C$10)*('2. Facility Emissions'!E21*INDEX(ConversionTable[Conversion Factor],MATCH(1,(ConversionTable[Source]='2. Facility Emissions'!C21)*(ConversionTable[Original Unit]='2. Facility Emissions'!D21),0))+'2. Facility Emissions'!J21*INDEX(ConversionTable[Conversion Factor],MATCH(1,(ConversionTable[Source]='2. Facility Emissions'!H21)*(ConversionTable[Original Unit]='2. Facility Emissions'!I21),0))+'2. Facility Emissions'!O21*INDEX(ConversionTable[Conversion Factor],MATCH(1,(ConversionTable[Source]='2. Facility Emissions'!M21)*(ConversionTable[Original Unit]='2. Facility Emissions'!N21),0))+'2. Facility Emissions'!T21*INDEX(ConversionTable[Conversion Factor],MATCH(1,(ConversionTable[Source]='2. Facility Emissions'!R21)*(ConversionTable[Original Unit]='2. Facility Emissions'!S21),0))+'2. Facility Emissions'!Y21*INDEX(ConversionTable[Conversion Factor],MATCH(1,(ConversionTable[Source]='2. Facility Emissions'!W21)*(ConversionTable[Original Unit]='2. Facility Emissions'!X21),0))+'2. Facility Emissions'!E44*INDEX(ConversionTable[Conversion Factor],MATCH(1,(ConversionTable[Source]='2. Facility Emissions'!C44)*(ConversionTable[Original Unit]='2. Facility Emissions'!D44),0))+'2. Facility Emissions'!J44*INDEX(ConversionTable[Conversion Factor],MATCH(1,(ConversionTable[Source]='2. Facility Emissions'!H44)*(ConversionTable[Original Unit]='2. Facility Emissions'!I44),0))+'2. Facility Emissions'!O44*INDEX(ConversionTable[Conversion Factor],MATCH(1,(ConversionTable[Source]='2. Facility Emissions'!M44)*(ConversionTable[Original Unit]='2. Facility Emissions'!N44),0))+'2. Facility Emissions'!T44*INDEX(ConversionTable[Conversion Factor],MATCH(1,(ConversionTable[Source]='2. Facility Emissions'!R44)*(ConversionTable[Original Unit]='2. Facility Emissions'!S44),0))+'2. Facility Emissions'!Y44*INDEX(ConversionTable[Conversion Factor],MATCH(1,(ConversionTable[Source]='2. Facility Emissions'!W44)*(ConversionTable[Original Unit]='2. Facility Emissions'!X44),0)))</f>
        <v>0</v>
      </c>
      <c r="D6" s="283">
        <f>DecarbCalcs2035[[#This Row],[Total Values]]*(1-('3. Decarbonization Strategy'!$C$26))</f>
        <v>0</v>
      </c>
      <c r="E6" s="283">
        <f>DecarbCalcs2035[[#This Row],[Energy Efficiency]]*(1-'3. Decarbonization Strategy'!$C$47)</f>
        <v>0</v>
      </c>
      <c r="F6" s="283">
        <f>DecarbCalcs2035[[#This Row],[Electrification]]-DecarbCalcs2035[[#This Row],[Energy Efficiency]]*('3. Decarbonization Strategy'!$C$48)</f>
        <v>0</v>
      </c>
      <c r="G6" s="283">
        <f>DecarbCalcs2035[[#This Row],[Fuel Switching]]</f>
        <v>0</v>
      </c>
      <c r="H6" s="283">
        <f>DecarbCalcs2035[[#This Row],[Onsite]]</f>
        <v>0</v>
      </c>
      <c r="I6" s="283">
        <f>DecarbCalcs2035[[#This Row],[PPAs]]</f>
        <v>0</v>
      </c>
      <c r="J6" s="283">
        <f>DecarbCalcs2035[[#This Row],[Utility Programs]]</f>
        <v>0</v>
      </c>
      <c r="K6" s="283">
        <f>DecarbCalcs2035[[#This Row],[Fuel Switching]]</f>
        <v>0</v>
      </c>
      <c r="L6" s="283"/>
      <c r="O6" s="285"/>
      <c r="S6" s="364" t="s">
        <v>71</v>
      </c>
      <c r="T6" s="365" t="s">
        <v>80</v>
      </c>
      <c r="U6" s="384">
        <f>(DecarbCalcs2035[[#This Row],[Energy Efficiency]]-DecarbCalcs2035[[#This Row],[Total Values]])*EFs!$AB7</f>
        <v>0</v>
      </c>
      <c r="V6" s="385">
        <f>(DecarbCalcs2035[[#This Row],[Electrification]]-DecarbCalcs2035[[#This Row],[Energy Efficiency]])*EFs!$AB7</f>
        <v>0</v>
      </c>
      <c r="W6" s="384">
        <f>(DecarbCalcs2035[[#This Row],[Fuel Switching]]-DecarbCalcs2035[[#This Row],[Electrification]])*EFs!$AB7</f>
        <v>0</v>
      </c>
      <c r="X6" s="385">
        <f>(DecarbCalcs2035[[#This Row],[Onsite]]-DecarbCalcs2035[[#This Row],[Fuel Switching]])*EFs!$AB7</f>
        <v>0</v>
      </c>
      <c r="Y6" s="384">
        <f>(DecarbCalcs2035[[#This Row],[PPAs]]-DecarbCalcs2035[[#This Row],[Onsite]])*EFs!$AB7</f>
        <v>0</v>
      </c>
      <c r="Z6" s="385">
        <f>(DecarbCalcs2035[[#This Row],[Utility Programs]]-DecarbCalcs2035[[#This Row],[PPAs]])*EFs!$AB7</f>
        <v>0</v>
      </c>
      <c r="AA6" s="384">
        <f>(DecarbCalcs2035[[#This Row],[RECs]]-DecarbCalcs2035[[#This Row],[Utility Programs]])*EFs!$AB7</f>
        <v>0</v>
      </c>
      <c r="AB6" s="385">
        <f>(DecarbCalcs2035[[#This Row],[After Renewable Electricity]]-DecarbCalcs2035[[#This Row],[RECs]])*EFs!$AB7</f>
        <v>0</v>
      </c>
      <c r="AC6" s="384"/>
      <c r="AE6" s="364" t="s">
        <v>71</v>
      </c>
      <c r="AF6" s="365" t="s">
        <v>80</v>
      </c>
      <c r="AG6" s="384">
        <f>(DecarbCalcs2035[[#This Row],[Energy Efficiency]]-DecarbCalcs2035[[#This Row],[Total Values]])*EFs!$AC7</f>
        <v>0</v>
      </c>
      <c r="AH6" s="385">
        <f>(DecarbCalcs2035[[#This Row],[Electrification]]-DecarbCalcs2035[[#This Row],[Energy Efficiency]])*EFs!$AC7</f>
        <v>0</v>
      </c>
      <c r="AI6" s="384">
        <f>(DecarbCalcs2035[[#This Row],[Fuel Switching]]-DecarbCalcs2035[[#This Row],[Electrification]])*EFs!$AC7</f>
        <v>0</v>
      </c>
      <c r="AJ6" s="385">
        <f>(DecarbCalcs2035[[#This Row],[Onsite]]-DecarbCalcs2035[[#This Row],[Fuel Switching]])*EFs!$AC7</f>
        <v>0</v>
      </c>
      <c r="AK6" s="384">
        <f>(DecarbCalcs2035[[#This Row],[PPAs]]-DecarbCalcs2035[[#This Row],[Onsite]])*EFs!$AC7</f>
        <v>0</v>
      </c>
      <c r="AL6" s="385">
        <f>(DecarbCalcs2035[[#This Row],[Utility Programs]]-DecarbCalcs2035[[#This Row],[PPAs]])*EFs!$AC7</f>
        <v>0</v>
      </c>
      <c r="AM6" s="384">
        <f>(DecarbCalcs2035[[#This Row],[RECs]]-DecarbCalcs2035[[#This Row],[Utility Programs]])*EFs!$AC7</f>
        <v>0</v>
      </c>
      <c r="AN6" s="385">
        <f>(DecarbCalcs2035[[#This Row],[After Renewable Electricity]]-DecarbCalcs2035[[#This Row],[RECs]])*EFs!$AC7</f>
        <v>0</v>
      </c>
      <c r="AO6" s="384"/>
      <c r="AQ6" s="364" t="s">
        <v>71</v>
      </c>
      <c r="AR6" s="365" t="s">
        <v>80</v>
      </c>
      <c r="AS6" s="384">
        <f>U6*-Assumptions!$G$43</f>
        <v>0</v>
      </c>
      <c r="AT6" s="383">
        <f>(DecarbCalcs2035[[#This Row],[Energy Efficiency]]-DecarbCalcs2035[[#This Row],[Electrification]])/Assumptions!$G$47*Assumptions!$G$49*EFs!Y7*'3. Decarbonization Strategy'!$C$39+(DecarbCalcs2035[[#This Row],[Energy Efficiency]]-DecarbCalcs2035[[#This Row],[Electrification]])/Assumptions!$G$48*Assumptions!$G$51*EFs!Y7*'3. Decarbonization Strategy'!$C$40</f>
        <v>0</v>
      </c>
      <c r="AU6" s="384">
        <f>(DecarbCalcs2035[[#This Row],[Electrification]]-DecarbCalcs2035[[#This Row],[Fuel Switching]])/Assumptions!$G$56*Assumptions!$G$57*EFs!Y7</f>
        <v>0</v>
      </c>
      <c r="AV6" s="385"/>
      <c r="AW6" s="384"/>
      <c r="AX6" s="385"/>
      <c r="AY6" s="384"/>
      <c r="AZ6" s="385"/>
      <c r="BB6" s="364" t="s">
        <v>71</v>
      </c>
      <c r="BC6" s="365" t="s">
        <v>80</v>
      </c>
      <c r="BD6" s="382">
        <f>AG6*-Assumptions!$G$44</f>
        <v>0</v>
      </c>
      <c r="BE6" s="383">
        <f>(DecarbCalcs2035[[#This Row],[Energy Efficiency]]-DecarbCalcs2035[[#This Row],[Electrification]])/Assumptions!$G$47*Assumptions!$G$50*'3. Decarbonization Strategy'!$C$39*EFs!Y7+(DecarbCalcs2035[[#This Row],[Energy Efficiency]]-DecarbCalcs2035[[#This Row],[Electrification]])/Assumptions!$G$48*Assumptions!$G$52*'3. Decarbonization Strategy'!$C$40*EFs!Y7</f>
        <v>0</v>
      </c>
      <c r="BF6" s="384">
        <f>(DecarbCalcs2035[[#This Row],[Electrification]]-DecarbCalcs2035[[#This Row],[Fuel Switching]])/Assumptions!$G$56*Assumptions!$G$58*EFs!Y7</f>
        <v>0</v>
      </c>
      <c r="BG6" s="385"/>
      <c r="BH6" s="384"/>
      <c r="BI6" s="385"/>
      <c r="BJ6" s="384"/>
      <c r="BK6" s="385"/>
      <c r="BN6" s="288" t="s">
        <v>139</v>
      </c>
      <c r="BO6" s="422">
        <f t="shared" si="0"/>
        <v>0</v>
      </c>
      <c r="BP6" s="422">
        <f t="shared" si="1"/>
        <v>0</v>
      </c>
      <c r="BQ6" s="422">
        <f t="shared" ref="BQ6:BQ12" si="6">IF(ABS(BO6)&gt;ABS(BP6),BP6,BO6)</f>
        <v>0</v>
      </c>
      <c r="BR6" s="422">
        <f t="shared" ref="BR6:BR12" si="7">IF(ABS(BP6)&lt;ABS(BO6),BO6,BP6)</f>
        <v>0</v>
      </c>
      <c r="BS6" s="422">
        <f t="shared" si="2"/>
        <v>0</v>
      </c>
      <c r="BT6" s="422">
        <f t="shared" si="3"/>
        <v>0</v>
      </c>
      <c r="BU6" s="464" t="str">
        <f t="shared" ref="BU6:BU12" si="8">IF("$"&amp;ROUND(LEFT(BS6,3),-1)/INDEX($BV$16:$BV$26,MATCH(ROUNDDOWN(IF(ISERROR(LOG10(BS6)),0,IF(LOG10(BS6)&lt;0,0,LOG10(BS6))),0),$BT$16:$BT$26,0))&amp;INDEX($BU$16:$BU$26,MATCH(ROUNDDOWN(IF(ISERROR(LOG10(BS6)),0,IF(LOG10(BS6)&lt;0,0,LOG10(BS6))),0),$BT$16:$BT$26,0))&amp;" - "&amp;"$"&amp;ROUND(LEFT(BT6,3),-1)/INDEX($BV$16:$BV$26,MATCH(ROUNDDOWN(IF(ISERROR(LOG10(BT6)),0,IF(LOG10(BT6)&lt;0,0,LOG10(BT6))),0),$BT$16:$BT$26,0))&amp;INDEX($BU$16:$BU$26,MATCH(ROUNDDOWN(IF(ISERROR(LOG10(BT6)),0,IF(LOG10(BT6)&lt;0,0,LOG10(BT6))),0),$BT$16:$BT$26,0))="$0 - $0","None","$"&amp;ROUND(LEFT(BS6,3),-1)/INDEX($BV$16:$BV$26,MATCH(ROUNDDOWN(IF(ISERROR(LOG10(BS6)),0,IF(LOG10(BS6)&lt;0,0,LOG10(BS6))),0),$BT$16:$BT$26,0))&amp;INDEX($BU$16:$BU$26,MATCH(ROUNDDOWN(IF(ISERROR(LOG10(BS6)),0,IF(LOG10(BS6)&lt;0,0,LOG10(BS6))),0),$BT$16:$BT$26,0))&amp;" - "&amp;"$"&amp;ROUND(LEFT(BT6,3),-1)/INDEX($BV$16:$BV$26,MATCH(ROUNDDOWN(IF(ISERROR(LOG10(BT6)),0,IF(LOG10(BT6)&lt;0,0,LOG10(BT6))),0),$BT$16:$BT$26,0))&amp;INDEX($BU$16:$BU$26,MATCH(ROUNDDOWN(IF(ISERROR(LOG10(BT6)),0,IF(LOG10(BT6)&lt;0,0,LOG10(BT6))),0),$BT$16:$BT$26,0)))</f>
        <v>None</v>
      </c>
      <c r="BV6" s="341" t="e">
        <f t="shared" si="4"/>
        <v>#NUM!</v>
      </c>
      <c r="BW6" s="421" t="str">
        <f t="shared" si="5"/>
        <v>No expense savings</v>
      </c>
    </row>
    <row r="7" spans="1:78" ht="16.5" customHeight="1" x14ac:dyDescent="0.3">
      <c r="A7" s="27" t="s">
        <v>73</v>
      </c>
      <c r="B7" s="25" t="s">
        <v>72</v>
      </c>
      <c r="C7" s="286" cm="1">
        <f t="array" ref="C7">(1+'1. Emissions Forecast'!$C$31)^(2035-'1. Emissions Forecast'!$C$10)*('2. Facility Emissions'!E22*INDEX(ConversionTable[Conversion Factor],MATCH(1,(ConversionTable[Source]='2. Facility Emissions'!C22)*(ConversionTable[Original Unit]='2. Facility Emissions'!D22),0))+'2. Facility Emissions'!J22*INDEX(ConversionTable[Conversion Factor],MATCH(1,(ConversionTable[Source]='2. Facility Emissions'!H22)*(ConversionTable[Original Unit]='2. Facility Emissions'!I22),0))+'2. Facility Emissions'!O22*INDEX(ConversionTable[Conversion Factor],MATCH(1,(ConversionTable[Source]='2. Facility Emissions'!M22)*(ConversionTable[Original Unit]='2. Facility Emissions'!N22),0))+'2. Facility Emissions'!T22*INDEX(ConversionTable[Conversion Factor],MATCH(1,(ConversionTable[Source]='2. Facility Emissions'!R22)*(ConversionTable[Original Unit]='2. Facility Emissions'!S22),0))+'2. Facility Emissions'!Y22*INDEX(ConversionTable[Conversion Factor],MATCH(1,(ConversionTable[Source]='2. Facility Emissions'!W22)*(ConversionTable[Original Unit]='2. Facility Emissions'!X22),0))+'2. Facility Emissions'!E45*INDEX(ConversionTable[Conversion Factor],MATCH(1,(ConversionTable[Source]='2. Facility Emissions'!C45)*(ConversionTable[Original Unit]='2. Facility Emissions'!D45),0))+'2. Facility Emissions'!J45*INDEX(ConversionTable[Conversion Factor],MATCH(1,(ConversionTable[Source]='2. Facility Emissions'!H45)*(ConversionTable[Original Unit]='2. Facility Emissions'!I45),0))+'2. Facility Emissions'!O45*INDEX(ConversionTable[Conversion Factor],MATCH(1,(ConversionTable[Source]='2. Facility Emissions'!M45)*(ConversionTable[Original Unit]='2. Facility Emissions'!N45),0))+'2. Facility Emissions'!T45*INDEX(ConversionTable[Conversion Factor],MATCH(1,(ConversionTable[Source]='2. Facility Emissions'!R45)*(ConversionTable[Original Unit]='2. Facility Emissions'!S45),0))+'2. Facility Emissions'!Y45*INDEX(ConversionTable[Conversion Factor],MATCH(1,(ConversionTable[Source]='2. Facility Emissions'!W45)*(ConversionTable[Original Unit]='2. Facility Emissions'!X45),0)))</f>
        <v>0</v>
      </c>
      <c r="D7" s="283">
        <f>DecarbCalcs2035[[#This Row],[Total Values]]*(1-('3. Decarbonization Strategy'!$C$26))</f>
        <v>0</v>
      </c>
      <c r="E7" s="283">
        <f>DecarbCalcs2035[[#This Row],[Energy Efficiency]]*(1-'3. Decarbonization Strategy'!$C$47)</f>
        <v>0</v>
      </c>
      <c r="F7" s="283">
        <f>DecarbCalcs2035[[#This Row],[Electrification]]-DecarbCalcs2035[[#This Row],[Energy Efficiency]]*('3. Decarbonization Strategy'!$C$48)</f>
        <v>0</v>
      </c>
      <c r="G7" s="283">
        <f>DecarbCalcs2035[[#This Row],[Fuel Switching]]</f>
        <v>0</v>
      </c>
      <c r="H7" s="283">
        <f>DecarbCalcs2035[[#This Row],[Onsite]]</f>
        <v>0</v>
      </c>
      <c r="I7" s="283">
        <f>DecarbCalcs2035[[#This Row],[PPAs]]</f>
        <v>0</v>
      </c>
      <c r="J7" s="283">
        <f>DecarbCalcs2035[[#This Row],[Utility Programs]]</f>
        <v>0</v>
      </c>
      <c r="K7" s="283">
        <f>DecarbCalcs2035[[#This Row],[Fuel Switching]]</f>
        <v>0</v>
      </c>
      <c r="L7" s="283"/>
      <c r="O7" s="285"/>
      <c r="S7" s="362" t="s">
        <v>73</v>
      </c>
      <c r="T7" s="363" t="s">
        <v>72</v>
      </c>
      <c r="U7" s="382">
        <f>(DecarbCalcs2035[[#This Row],[Energy Efficiency]]-DecarbCalcs2035[[#This Row],[Total Values]])*EFs!$AB8</f>
        <v>0</v>
      </c>
      <c r="V7" s="383">
        <f>(DecarbCalcs2035[[#This Row],[Electrification]]-DecarbCalcs2035[[#This Row],[Energy Efficiency]])*EFs!$AB8</f>
        <v>0</v>
      </c>
      <c r="W7" s="382">
        <f>(DecarbCalcs2035[[#This Row],[Fuel Switching]]-DecarbCalcs2035[[#This Row],[Electrification]])*EFs!$AB8</f>
        <v>0</v>
      </c>
      <c r="X7" s="383">
        <f>(DecarbCalcs2035[[#This Row],[Onsite]]-DecarbCalcs2035[[#This Row],[Fuel Switching]])*EFs!$AB8</f>
        <v>0</v>
      </c>
      <c r="Y7" s="382">
        <f>(DecarbCalcs2035[[#This Row],[PPAs]]-DecarbCalcs2035[[#This Row],[Onsite]])*EFs!$AB8</f>
        <v>0</v>
      </c>
      <c r="Z7" s="383">
        <f>(DecarbCalcs2035[[#This Row],[Utility Programs]]-DecarbCalcs2035[[#This Row],[PPAs]])*EFs!$AB8</f>
        <v>0</v>
      </c>
      <c r="AA7" s="382">
        <f>(DecarbCalcs2035[[#This Row],[RECs]]-DecarbCalcs2035[[#This Row],[Utility Programs]])*EFs!$AB8</f>
        <v>0</v>
      </c>
      <c r="AB7" s="383">
        <f>(DecarbCalcs2035[[#This Row],[After Renewable Electricity]]-DecarbCalcs2035[[#This Row],[RECs]])*EFs!$AB8</f>
        <v>0</v>
      </c>
      <c r="AC7" s="382"/>
      <c r="AE7" s="362" t="s">
        <v>73</v>
      </c>
      <c r="AF7" s="363" t="s">
        <v>72</v>
      </c>
      <c r="AG7" s="382">
        <f>(DecarbCalcs2035[[#This Row],[Energy Efficiency]]-DecarbCalcs2035[[#This Row],[Total Values]])*EFs!$AC8</f>
        <v>0</v>
      </c>
      <c r="AH7" s="383">
        <f>(DecarbCalcs2035[[#This Row],[Electrification]]-DecarbCalcs2035[[#This Row],[Energy Efficiency]])*EFs!$AC8</f>
        <v>0</v>
      </c>
      <c r="AI7" s="382">
        <f>(DecarbCalcs2035[[#This Row],[Fuel Switching]]-DecarbCalcs2035[[#This Row],[Electrification]])*EFs!$AC8</f>
        <v>0</v>
      </c>
      <c r="AJ7" s="383">
        <f>(DecarbCalcs2035[[#This Row],[Onsite]]-DecarbCalcs2035[[#This Row],[Fuel Switching]])*EFs!$AC8</f>
        <v>0</v>
      </c>
      <c r="AK7" s="382">
        <f>(DecarbCalcs2035[[#This Row],[PPAs]]-DecarbCalcs2035[[#This Row],[Onsite]])*EFs!$AC8</f>
        <v>0</v>
      </c>
      <c r="AL7" s="383">
        <f>(DecarbCalcs2035[[#This Row],[Utility Programs]]-DecarbCalcs2035[[#This Row],[PPAs]])*EFs!$AC8</f>
        <v>0</v>
      </c>
      <c r="AM7" s="382">
        <f>(DecarbCalcs2035[[#This Row],[RECs]]-DecarbCalcs2035[[#This Row],[Utility Programs]])*EFs!$AC8</f>
        <v>0</v>
      </c>
      <c r="AN7" s="383">
        <f>(DecarbCalcs2035[[#This Row],[After Renewable Electricity]]-DecarbCalcs2035[[#This Row],[RECs]])*EFs!$AC8</f>
        <v>0</v>
      </c>
      <c r="AO7" s="382"/>
      <c r="AQ7" s="362" t="s">
        <v>73</v>
      </c>
      <c r="AR7" s="363" t="s">
        <v>72</v>
      </c>
      <c r="AS7" s="382">
        <f>U7*-Assumptions!$G$43</f>
        <v>0</v>
      </c>
      <c r="AT7" s="383">
        <f>(DecarbCalcs2035[[#This Row],[Energy Efficiency]]-DecarbCalcs2035[[#This Row],[Electrification]])/Assumptions!$G$47*Assumptions!$G$49*EFs!Y8*'3. Decarbonization Strategy'!$C$39+(DecarbCalcs2035[[#This Row],[Energy Efficiency]]-DecarbCalcs2035[[#This Row],[Electrification]])/Assumptions!$G$48*Assumptions!$G$51*EFs!Y8*'3. Decarbonization Strategy'!$C$40</f>
        <v>0</v>
      </c>
      <c r="AU7" s="382">
        <f>(DecarbCalcs2035[[#This Row],[Electrification]]-DecarbCalcs2035[[#This Row],[Fuel Switching]])/Assumptions!$G$56*Assumptions!$G$57*EFs!Y8</f>
        <v>0</v>
      </c>
      <c r="AV7" s="383"/>
      <c r="AW7" s="382"/>
      <c r="AX7" s="383"/>
      <c r="AY7" s="382"/>
      <c r="AZ7" s="383"/>
      <c r="BB7" s="362" t="s">
        <v>73</v>
      </c>
      <c r="BC7" s="363" t="s">
        <v>72</v>
      </c>
      <c r="BD7" s="382">
        <f>AG7*-Assumptions!$G$44</f>
        <v>0</v>
      </c>
      <c r="BE7" s="383">
        <f>(DecarbCalcs2035[[#This Row],[Energy Efficiency]]-DecarbCalcs2035[[#This Row],[Electrification]])/Assumptions!$G$47*Assumptions!$G$50*'3. Decarbonization Strategy'!$C$39*EFs!Y8+(DecarbCalcs2035[[#This Row],[Energy Efficiency]]-DecarbCalcs2035[[#This Row],[Electrification]])/Assumptions!$G$48*Assumptions!$G$52*'3. Decarbonization Strategy'!$C$40*EFs!Y8</f>
        <v>0</v>
      </c>
      <c r="BF7" s="382">
        <f>(DecarbCalcs2035[[#This Row],[Electrification]]-DecarbCalcs2035[[#This Row],[Fuel Switching]])/Assumptions!$G$56*Assumptions!$G$58*EFs!Y8</f>
        <v>0</v>
      </c>
      <c r="BG7" s="383"/>
      <c r="BH7" s="382"/>
      <c r="BI7" s="383"/>
      <c r="BJ7" s="382"/>
      <c r="BK7" s="383"/>
      <c r="BN7" s="288" t="s">
        <v>140</v>
      </c>
      <c r="BO7" s="422">
        <f>SUM(_xlfn.XLOOKUP(BN7,$U$2:$AC$2,$U$3:$AC$23))</f>
        <v>0</v>
      </c>
      <c r="BP7" s="422">
        <f t="shared" si="1"/>
        <v>0</v>
      </c>
      <c r="BQ7" s="422">
        <f t="shared" si="6"/>
        <v>0</v>
      </c>
      <c r="BR7" s="422">
        <f t="shared" si="7"/>
        <v>0</v>
      </c>
      <c r="BS7" s="422">
        <f t="shared" si="2"/>
        <v>0</v>
      </c>
      <c r="BT7" s="422">
        <f t="shared" si="3"/>
        <v>0</v>
      </c>
      <c r="BU7" s="464" t="str">
        <f t="shared" si="8"/>
        <v>None</v>
      </c>
      <c r="BV7" s="341" t="e">
        <f t="shared" si="4"/>
        <v>#NUM!</v>
      </c>
      <c r="BW7" s="421" t="str">
        <f t="shared" si="5"/>
        <v>No expense savings</v>
      </c>
    </row>
    <row r="8" spans="1:78" ht="16.5" customHeight="1" x14ac:dyDescent="0.3">
      <c r="A8" s="27" t="s">
        <v>74</v>
      </c>
      <c r="B8" s="25" t="s">
        <v>72</v>
      </c>
      <c r="C8" s="286" cm="1">
        <f t="array" ref="C8">(1+'1. Emissions Forecast'!$C$31)^(2035-'1. Emissions Forecast'!$C$10)*('2. Facility Emissions'!E23*INDEX(ConversionTable[Conversion Factor],MATCH(1,(ConversionTable[Source]='2. Facility Emissions'!C23)*(ConversionTable[Original Unit]='2. Facility Emissions'!D23),0))+'2. Facility Emissions'!J23*INDEX(ConversionTable[Conversion Factor],MATCH(1,(ConversionTable[Source]='2. Facility Emissions'!H23)*(ConversionTable[Original Unit]='2. Facility Emissions'!I23),0))+'2. Facility Emissions'!O23*INDEX(ConversionTable[Conversion Factor],MATCH(1,(ConversionTable[Source]='2. Facility Emissions'!M23)*(ConversionTable[Original Unit]='2. Facility Emissions'!N23),0))+'2. Facility Emissions'!T23*INDEX(ConversionTable[Conversion Factor],MATCH(1,(ConversionTable[Source]='2. Facility Emissions'!R23)*(ConversionTable[Original Unit]='2. Facility Emissions'!S23),0))+'2. Facility Emissions'!Y23*INDEX(ConversionTable[Conversion Factor],MATCH(1,(ConversionTable[Source]='2. Facility Emissions'!W23)*(ConversionTable[Original Unit]='2. Facility Emissions'!X23),0))+'2. Facility Emissions'!E46*INDEX(ConversionTable[Conversion Factor],MATCH(1,(ConversionTable[Source]='2. Facility Emissions'!C46)*(ConversionTable[Original Unit]='2. Facility Emissions'!D46),0))+'2. Facility Emissions'!J46*INDEX(ConversionTable[Conversion Factor],MATCH(1,(ConversionTable[Source]='2. Facility Emissions'!H46)*(ConversionTable[Original Unit]='2. Facility Emissions'!I46),0))+'2. Facility Emissions'!O46*INDEX(ConversionTable[Conversion Factor],MATCH(1,(ConversionTable[Source]='2. Facility Emissions'!M46)*(ConversionTable[Original Unit]='2. Facility Emissions'!N46),0))+'2. Facility Emissions'!T46*INDEX(ConversionTable[Conversion Factor],MATCH(1,(ConversionTable[Source]='2. Facility Emissions'!R46)*(ConversionTable[Original Unit]='2. Facility Emissions'!S46),0))+'2. Facility Emissions'!Y46*INDEX(ConversionTable[Conversion Factor],MATCH(1,(ConversionTable[Source]='2. Facility Emissions'!W46)*(ConversionTable[Original Unit]='2. Facility Emissions'!X46),0)))</f>
        <v>0</v>
      </c>
      <c r="D8" s="283">
        <f>DecarbCalcs2035[[#This Row],[Total Values]]*(1-('3. Decarbonization Strategy'!$C$26))</f>
        <v>0</v>
      </c>
      <c r="E8" s="283">
        <f>DecarbCalcs2035[[#This Row],[Energy Efficiency]]*(1-'3. Decarbonization Strategy'!$C$47)</f>
        <v>0</v>
      </c>
      <c r="F8" s="283">
        <f>DecarbCalcs2035[[#This Row],[Electrification]]-DecarbCalcs2035[[#This Row],[Energy Efficiency]]*('3. Decarbonization Strategy'!$C$48)</f>
        <v>0</v>
      </c>
      <c r="G8" s="283">
        <f>DecarbCalcs2035[[#This Row],[Fuel Switching]]</f>
        <v>0</v>
      </c>
      <c r="H8" s="283">
        <f>DecarbCalcs2035[[#This Row],[Onsite]]</f>
        <v>0</v>
      </c>
      <c r="I8" s="283">
        <f>DecarbCalcs2035[[#This Row],[PPAs]]</f>
        <v>0</v>
      </c>
      <c r="J8" s="283">
        <f>DecarbCalcs2035[[#This Row],[Utility Programs]]</f>
        <v>0</v>
      </c>
      <c r="K8" s="283">
        <f>DecarbCalcs2035[[#This Row],[Fuel Switching]]</f>
        <v>0</v>
      </c>
      <c r="L8" s="283"/>
      <c r="O8" s="553"/>
      <c r="S8" s="364" t="s">
        <v>74</v>
      </c>
      <c r="T8" s="365" t="s">
        <v>72</v>
      </c>
      <c r="U8" s="384">
        <f>(DecarbCalcs2035[[#This Row],[Energy Efficiency]]-DecarbCalcs2035[[#This Row],[Total Values]])*EFs!$AB9</f>
        <v>0</v>
      </c>
      <c r="V8" s="385">
        <f>(DecarbCalcs2035[[#This Row],[Electrification]]-DecarbCalcs2035[[#This Row],[Energy Efficiency]])*EFs!$AB9</f>
        <v>0</v>
      </c>
      <c r="W8" s="384">
        <f>(DecarbCalcs2035[[#This Row],[Fuel Switching]]-DecarbCalcs2035[[#This Row],[Electrification]])*EFs!$AB9</f>
        <v>0</v>
      </c>
      <c r="X8" s="385">
        <f>(DecarbCalcs2035[[#This Row],[Onsite]]-DecarbCalcs2035[[#This Row],[Fuel Switching]])*EFs!$AB9</f>
        <v>0</v>
      </c>
      <c r="Y8" s="384">
        <f>(DecarbCalcs2035[[#This Row],[PPAs]]-DecarbCalcs2035[[#This Row],[Onsite]])*EFs!$AB9</f>
        <v>0</v>
      </c>
      <c r="Z8" s="385">
        <f>(DecarbCalcs2035[[#This Row],[Utility Programs]]-DecarbCalcs2035[[#This Row],[PPAs]])*EFs!$AB9</f>
        <v>0</v>
      </c>
      <c r="AA8" s="384">
        <f>(DecarbCalcs2035[[#This Row],[RECs]]-DecarbCalcs2035[[#This Row],[Utility Programs]])*EFs!$AB9</f>
        <v>0</v>
      </c>
      <c r="AB8" s="385">
        <f>(DecarbCalcs2035[[#This Row],[After Renewable Electricity]]-DecarbCalcs2035[[#This Row],[RECs]])*EFs!$AB9</f>
        <v>0</v>
      </c>
      <c r="AC8" s="384"/>
      <c r="AE8" s="364" t="s">
        <v>74</v>
      </c>
      <c r="AF8" s="365" t="s">
        <v>72</v>
      </c>
      <c r="AG8" s="384">
        <f>(DecarbCalcs2035[[#This Row],[Energy Efficiency]]-DecarbCalcs2035[[#This Row],[Total Values]])*EFs!$AC9</f>
        <v>0</v>
      </c>
      <c r="AH8" s="385">
        <f>(DecarbCalcs2035[[#This Row],[Electrification]]-DecarbCalcs2035[[#This Row],[Energy Efficiency]])*EFs!$AC9</f>
        <v>0</v>
      </c>
      <c r="AI8" s="384">
        <f>(DecarbCalcs2035[[#This Row],[Fuel Switching]]-DecarbCalcs2035[[#This Row],[Electrification]])*EFs!$AC9</f>
        <v>0</v>
      </c>
      <c r="AJ8" s="385">
        <f>(DecarbCalcs2035[[#This Row],[Onsite]]-DecarbCalcs2035[[#This Row],[Fuel Switching]])*EFs!$AC9</f>
        <v>0</v>
      </c>
      <c r="AK8" s="384">
        <f>(DecarbCalcs2035[[#This Row],[PPAs]]-DecarbCalcs2035[[#This Row],[Onsite]])*EFs!$AC9</f>
        <v>0</v>
      </c>
      <c r="AL8" s="385">
        <f>(DecarbCalcs2035[[#This Row],[Utility Programs]]-DecarbCalcs2035[[#This Row],[PPAs]])*EFs!$AC9</f>
        <v>0</v>
      </c>
      <c r="AM8" s="384">
        <f>(DecarbCalcs2035[[#This Row],[RECs]]-DecarbCalcs2035[[#This Row],[Utility Programs]])*EFs!$AC9</f>
        <v>0</v>
      </c>
      <c r="AN8" s="385">
        <f>(DecarbCalcs2035[[#This Row],[After Renewable Electricity]]-DecarbCalcs2035[[#This Row],[RECs]])*EFs!$AC9</f>
        <v>0</v>
      </c>
      <c r="AO8" s="384"/>
      <c r="AQ8" s="364" t="s">
        <v>74</v>
      </c>
      <c r="AR8" s="365" t="s">
        <v>72</v>
      </c>
      <c r="AS8" s="384">
        <f>U8*-Assumptions!$G$43</f>
        <v>0</v>
      </c>
      <c r="AT8" s="383">
        <f>(DecarbCalcs2035[[#This Row],[Energy Efficiency]]-DecarbCalcs2035[[#This Row],[Electrification]])/Assumptions!$G$47*Assumptions!$G$49*EFs!Y9*'3. Decarbonization Strategy'!$C$39+(DecarbCalcs2035[[#This Row],[Energy Efficiency]]-DecarbCalcs2035[[#This Row],[Electrification]])/Assumptions!$G$48*Assumptions!$G$51*EFs!Y9*'3. Decarbonization Strategy'!$C$40</f>
        <v>0</v>
      </c>
      <c r="AU8" s="384">
        <f>(DecarbCalcs2035[[#This Row],[Electrification]]-DecarbCalcs2035[[#This Row],[Fuel Switching]])/Assumptions!$G$56*Assumptions!$G$57*EFs!Y9</f>
        <v>0</v>
      </c>
      <c r="AV8" s="385"/>
      <c r="AW8" s="384"/>
      <c r="AX8" s="385"/>
      <c r="AY8" s="384"/>
      <c r="AZ8" s="385"/>
      <c r="BB8" s="364" t="s">
        <v>74</v>
      </c>
      <c r="BC8" s="365" t="s">
        <v>72</v>
      </c>
      <c r="BD8" s="382">
        <f>AG8*-Assumptions!$G$44</f>
        <v>0</v>
      </c>
      <c r="BE8" s="383">
        <f>(DecarbCalcs2035[[#This Row],[Energy Efficiency]]-DecarbCalcs2035[[#This Row],[Electrification]])/Assumptions!$G$47*Assumptions!$G$50*'3. Decarbonization Strategy'!$C$39*EFs!Y9+(DecarbCalcs2035[[#This Row],[Energy Efficiency]]-DecarbCalcs2035[[#This Row],[Electrification]])/Assumptions!$G$48*Assumptions!$G$52*'3. Decarbonization Strategy'!$C$40*EFs!Y9</f>
        <v>0</v>
      </c>
      <c r="BF8" s="384">
        <f>(DecarbCalcs2035[[#This Row],[Electrification]]-DecarbCalcs2035[[#This Row],[Fuel Switching]])/Assumptions!$G$56*Assumptions!$G$58*EFs!Y9</f>
        <v>0</v>
      </c>
      <c r="BG8" s="385"/>
      <c r="BH8" s="384"/>
      <c r="BI8" s="385"/>
      <c r="BJ8" s="384"/>
      <c r="BK8" s="385"/>
      <c r="BN8" s="288" t="s">
        <v>141</v>
      </c>
      <c r="BO8" s="422">
        <f>SUM(_xlfn.XLOOKUP(BN8,$U$2:$AC$2,$U$3:$AC$23))</f>
        <v>0</v>
      </c>
      <c r="BP8" s="422">
        <f t="shared" si="1"/>
        <v>0</v>
      </c>
      <c r="BQ8" s="422">
        <f t="shared" si="6"/>
        <v>0</v>
      </c>
      <c r="BR8" s="422">
        <f t="shared" si="7"/>
        <v>0</v>
      </c>
      <c r="BS8" s="422">
        <f t="shared" si="2"/>
        <v>0</v>
      </c>
      <c r="BT8" s="422">
        <f t="shared" si="3"/>
        <v>0</v>
      </c>
      <c r="BU8" s="464" t="str">
        <f t="shared" si="8"/>
        <v>None</v>
      </c>
      <c r="BV8" s="341" t="e">
        <f t="shared" si="4"/>
        <v>#NUM!</v>
      </c>
      <c r="BW8" s="421" t="str">
        <f t="shared" si="5"/>
        <v>No expense savings</v>
      </c>
    </row>
    <row r="9" spans="1:78" ht="16.5" customHeight="1" x14ac:dyDescent="0.3">
      <c r="A9" s="27" t="s">
        <v>75</v>
      </c>
      <c r="B9" s="25" t="s">
        <v>80</v>
      </c>
      <c r="C9" s="286" cm="1">
        <f t="array" ref="C9">(1+'1. Emissions Forecast'!$C$31)^(2035-'1. Emissions Forecast'!$C$10)*('2. Facility Emissions'!E24*INDEX(ConversionTable[Conversion Factor],MATCH(1,(ConversionTable[Source]='2. Facility Emissions'!C24)*(ConversionTable[Original Unit]='2. Facility Emissions'!D24),0))+'2. Facility Emissions'!J24*INDEX(ConversionTable[Conversion Factor],MATCH(1,(ConversionTable[Source]='2. Facility Emissions'!H24)*(ConversionTable[Original Unit]='2. Facility Emissions'!I24),0))+'2. Facility Emissions'!O24*INDEX(ConversionTable[Conversion Factor],MATCH(1,(ConversionTable[Source]='2. Facility Emissions'!M24)*(ConversionTable[Original Unit]='2. Facility Emissions'!N24),0))+'2. Facility Emissions'!T24*INDEX(ConversionTable[Conversion Factor],MATCH(1,(ConversionTable[Source]='2. Facility Emissions'!R24)*(ConversionTable[Original Unit]='2. Facility Emissions'!S24),0))+'2. Facility Emissions'!Y24*INDEX(ConversionTable[Conversion Factor],MATCH(1,(ConversionTable[Source]='2. Facility Emissions'!W24)*(ConversionTable[Original Unit]='2. Facility Emissions'!X24),0))+'2. Facility Emissions'!E47*INDEX(ConversionTable[Conversion Factor],MATCH(1,(ConversionTable[Source]='2. Facility Emissions'!C47)*(ConversionTable[Original Unit]='2. Facility Emissions'!D47),0))+'2. Facility Emissions'!J47*INDEX(ConversionTable[Conversion Factor],MATCH(1,(ConversionTable[Source]='2. Facility Emissions'!H47)*(ConversionTable[Original Unit]='2. Facility Emissions'!I47),0))+'2. Facility Emissions'!O47*INDEX(ConversionTable[Conversion Factor],MATCH(1,(ConversionTable[Source]='2. Facility Emissions'!M47)*(ConversionTable[Original Unit]='2. Facility Emissions'!N47),0))+'2. Facility Emissions'!T47*INDEX(ConversionTable[Conversion Factor],MATCH(1,(ConversionTable[Source]='2. Facility Emissions'!R47)*(ConversionTable[Original Unit]='2. Facility Emissions'!S47),0))+'2. Facility Emissions'!Y47*INDEX(ConversionTable[Conversion Factor],MATCH(1,(ConversionTable[Source]='2. Facility Emissions'!W47)*(ConversionTable[Original Unit]='2. Facility Emissions'!X47),0)))</f>
        <v>0</v>
      </c>
      <c r="D9" s="283">
        <f>DecarbCalcs2035[[#This Row],[Total Values]]*(1-('3. Decarbonization Strategy'!$C$26))</f>
        <v>0</v>
      </c>
      <c r="E9" s="283">
        <f>DecarbCalcs2035[[#This Row],[Energy Efficiency]]*(1-'3. Decarbonization Strategy'!$C$47)</f>
        <v>0</v>
      </c>
      <c r="F9" s="283">
        <f>DecarbCalcs2035[[#This Row],[Electrification]]-DecarbCalcs2035[[#This Row],[Energy Efficiency]]*('3. Decarbonization Strategy'!$C$48)</f>
        <v>0</v>
      </c>
      <c r="G9" s="283">
        <f>DecarbCalcs2035[[#This Row],[Fuel Switching]]</f>
        <v>0</v>
      </c>
      <c r="H9" s="283">
        <f>DecarbCalcs2035[[#This Row],[Onsite]]</f>
        <v>0</v>
      </c>
      <c r="I9" s="283">
        <f>DecarbCalcs2035[[#This Row],[PPAs]]</f>
        <v>0</v>
      </c>
      <c r="J9" s="283">
        <f>DecarbCalcs2035[[#This Row],[Utility Programs]]</f>
        <v>0</v>
      </c>
      <c r="K9" s="283">
        <f>DecarbCalcs2035[[#This Row],[Fuel Switching]]</f>
        <v>0</v>
      </c>
      <c r="L9" s="283"/>
      <c r="O9" s="285"/>
      <c r="S9" s="362" t="s">
        <v>75</v>
      </c>
      <c r="T9" s="363" t="s">
        <v>80</v>
      </c>
      <c r="U9" s="382">
        <f>(DecarbCalcs2035[[#This Row],[Energy Efficiency]]-DecarbCalcs2035[[#This Row],[Total Values]])*EFs!$AB10</f>
        <v>0</v>
      </c>
      <c r="V9" s="383">
        <f>(DecarbCalcs2035[[#This Row],[Electrification]]-DecarbCalcs2035[[#This Row],[Energy Efficiency]])*EFs!$AB10</f>
        <v>0</v>
      </c>
      <c r="W9" s="382">
        <f>(DecarbCalcs2035[[#This Row],[Fuel Switching]]-DecarbCalcs2035[[#This Row],[Electrification]])*EFs!$AB10</f>
        <v>0</v>
      </c>
      <c r="X9" s="383">
        <f>(DecarbCalcs2035[[#This Row],[Onsite]]-DecarbCalcs2035[[#This Row],[Fuel Switching]])*EFs!$AB10</f>
        <v>0</v>
      </c>
      <c r="Y9" s="382">
        <f>(DecarbCalcs2035[[#This Row],[PPAs]]-DecarbCalcs2035[[#This Row],[Onsite]])*EFs!$AB10</f>
        <v>0</v>
      </c>
      <c r="Z9" s="383">
        <f>(DecarbCalcs2035[[#This Row],[Utility Programs]]-DecarbCalcs2035[[#This Row],[PPAs]])*EFs!$AB10</f>
        <v>0</v>
      </c>
      <c r="AA9" s="382">
        <f>(DecarbCalcs2035[[#This Row],[RECs]]-DecarbCalcs2035[[#This Row],[Utility Programs]])*EFs!$AB10</f>
        <v>0</v>
      </c>
      <c r="AB9" s="383">
        <f>(DecarbCalcs2035[[#This Row],[After Renewable Electricity]]-DecarbCalcs2035[[#This Row],[RECs]])*EFs!$AB10</f>
        <v>0</v>
      </c>
      <c r="AC9" s="382"/>
      <c r="AE9" s="362" t="s">
        <v>75</v>
      </c>
      <c r="AF9" s="363" t="s">
        <v>80</v>
      </c>
      <c r="AG9" s="382">
        <f>(DecarbCalcs2035[[#This Row],[Energy Efficiency]]-DecarbCalcs2035[[#This Row],[Total Values]])*EFs!$AC10</f>
        <v>0</v>
      </c>
      <c r="AH9" s="383">
        <f>(DecarbCalcs2035[[#This Row],[Electrification]]-DecarbCalcs2035[[#This Row],[Energy Efficiency]])*EFs!$AC10</f>
        <v>0</v>
      </c>
      <c r="AI9" s="382">
        <f>(DecarbCalcs2035[[#This Row],[Fuel Switching]]-DecarbCalcs2035[[#This Row],[Electrification]])*EFs!$AC10</f>
        <v>0</v>
      </c>
      <c r="AJ9" s="383">
        <f>(DecarbCalcs2035[[#This Row],[Onsite]]-DecarbCalcs2035[[#This Row],[Fuel Switching]])*EFs!$AC10</f>
        <v>0</v>
      </c>
      <c r="AK9" s="382">
        <f>(DecarbCalcs2035[[#This Row],[PPAs]]-DecarbCalcs2035[[#This Row],[Onsite]])*EFs!$AC10</f>
        <v>0</v>
      </c>
      <c r="AL9" s="383">
        <f>(DecarbCalcs2035[[#This Row],[Utility Programs]]-DecarbCalcs2035[[#This Row],[PPAs]])*EFs!$AC10</f>
        <v>0</v>
      </c>
      <c r="AM9" s="382">
        <f>(DecarbCalcs2035[[#This Row],[RECs]]-DecarbCalcs2035[[#This Row],[Utility Programs]])*EFs!$AC10</f>
        <v>0</v>
      </c>
      <c r="AN9" s="383">
        <f>(DecarbCalcs2035[[#This Row],[After Renewable Electricity]]-DecarbCalcs2035[[#This Row],[RECs]])*EFs!$AC10</f>
        <v>0</v>
      </c>
      <c r="AO9" s="382"/>
      <c r="AQ9" s="362" t="s">
        <v>75</v>
      </c>
      <c r="AR9" s="363" t="s">
        <v>80</v>
      </c>
      <c r="AS9" s="382">
        <f>U9*-Assumptions!$G$43</f>
        <v>0</v>
      </c>
      <c r="AT9" s="383">
        <f>(DecarbCalcs2035[[#This Row],[Energy Efficiency]]-DecarbCalcs2035[[#This Row],[Electrification]])/Assumptions!$G$47*Assumptions!$G$49*EFs!Y10*'3. Decarbonization Strategy'!$C$39+(DecarbCalcs2035[[#This Row],[Energy Efficiency]]-DecarbCalcs2035[[#This Row],[Electrification]])/Assumptions!$G$48*Assumptions!$G$51*EFs!Y10*'3. Decarbonization Strategy'!$C$40</f>
        <v>0</v>
      </c>
      <c r="AU9" s="382">
        <f>(DecarbCalcs2035[[#This Row],[Electrification]]-DecarbCalcs2035[[#This Row],[Fuel Switching]])/Assumptions!$G$56*Assumptions!$G$57*EFs!Y10</f>
        <v>0</v>
      </c>
      <c r="AV9" s="383"/>
      <c r="AW9" s="382"/>
      <c r="AX9" s="383"/>
      <c r="AY9" s="382"/>
      <c r="AZ9" s="383"/>
      <c r="BB9" s="362" t="s">
        <v>75</v>
      </c>
      <c r="BC9" s="363" t="s">
        <v>80</v>
      </c>
      <c r="BD9" s="382">
        <f>AG9*-Assumptions!$G$44</f>
        <v>0</v>
      </c>
      <c r="BE9" s="383">
        <f>(DecarbCalcs2035[[#This Row],[Energy Efficiency]]-DecarbCalcs2035[[#This Row],[Electrification]])/Assumptions!$G$47*Assumptions!$G$50*'3. Decarbonization Strategy'!$C$39*EFs!Y10+(DecarbCalcs2035[[#This Row],[Energy Efficiency]]-DecarbCalcs2035[[#This Row],[Electrification]])/Assumptions!$G$48*Assumptions!$G$52*'3. Decarbonization Strategy'!$C$40*EFs!Y10</f>
        <v>0</v>
      </c>
      <c r="BF9" s="382">
        <f>(DecarbCalcs2035[[#This Row],[Electrification]]-DecarbCalcs2035[[#This Row],[Fuel Switching]])/Assumptions!$G$56*Assumptions!$G$58*EFs!Y10</f>
        <v>0</v>
      </c>
      <c r="BG9" s="383"/>
      <c r="BH9" s="382"/>
      <c r="BI9" s="383"/>
      <c r="BJ9" s="382"/>
      <c r="BK9" s="383"/>
      <c r="BN9" s="288" t="s">
        <v>142</v>
      </c>
      <c r="BO9" s="422">
        <f>SUM(_xlfn.XLOOKUP(BN9,$U$2:$AC$2,$U$3:$AC$23))</f>
        <v>0</v>
      </c>
      <c r="BP9" s="422">
        <f t="shared" si="1"/>
        <v>0</v>
      </c>
      <c r="BQ9" s="422">
        <f t="shared" si="6"/>
        <v>0</v>
      </c>
      <c r="BR9" s="422">
        <f t="shared" si="7"/>
        <v>0</v>
      </c>
      <c r="BS9" s="422">
        <f t="shared" si="2"/>
        <v>0</v>
      </c>
      <c r="BT9" s="422">
        <f t="shared" si="3"/>
        <v>0</v>
      </c>
      <c r="BU9" s="464" t="str">
        <f t="shared" si="8"/>
        <v>None</v>
      </c>
      <c r="BV9" s="341" t="e">
        <f t="shared" si="4"/>
        <v>#NUM!</v>
      </c>
      <c r="BW9" s="421" t="str">
        <f t="shared" si="5"/>
        <v>No expense savings</v>
      </c>
    </row>
    <row r="10" spans="1:78" ht="16.5" customHeight="1" x14ac:dyDescent="0.3">
      <c r="A10" t="s">
        <v>77</v>
      </c>
      <c r="B10" s="25" t="s">
        <v>72</v>
      </c>
      <c r="C10" s="286" cm="1">
        <f t="array" ref="C10">(1+'1. Emissions Forecast'!$C$31)^(2035-'1. Emissions Forecast'!$C$10)*('2. Facility Emissions'!E25*INDEX(ConversionTable[Conversion Factor],MATCH(1,(ConversionTable[Source]='2. Facility Emissions'!C25)*(ConversionTable[Original Unit]='2. Facility Emissions'!D25),0))+'2. Facility Emissions'!J25*INDEX(ConversionTable[Conversion Factor],MATCH(1,(ConversionTable[Source]='2. Facility Emissions'!H25)*(ConversionTable[Original Unit]='2. Facility Emissions'!I25),0))+'2. Facility Emissions'!O25*INDEX(ConversionTable[Conversion Factor],MATCH(1,(ConversionTable[Source]='2. Facility Emissions'!M25)*(ConversionTable[Original Unit]='2. Facility Emissions'!N25),0))+'2. Facility Emissions'!T25*INDEX(ConversionTable[Conversion Factor],MATCH(1,(ConversionTable[Source]='2. Facility Emissions'!R25)*(ConversionTable[Original Unit]='2. Facility Emissions'!S25),0))+'2. Facility Emissions'!Y25*INDEX(ConversionTable[Conversion Factor],MATCH(1,(ConversionTable[Source]='2. Facility Emissions'!W25)*(ConversionTable[Original Unit]='2. Facility Emissions'!X25),0))+'2. Facility Emissions'!E48*INDEX(ConversionTable[Conversion Factor],MATCH(1,(ConversionTable[Source]='2. Facility Emissions'!C48)*(ConversionTable[Original Unit]='2. Facility Emissions'!D48),0))+'2. Facility Emissions'!J48*INDEX(ConversionTable[Conversion Factor],MATCH(1,(ConversionTable[Source]='2. Facility Emissions'!H48)*(ConversionTable[Original Unit]='2. Facility Emissions'!I48),0))+'2. Facility Emissions'!O48*INDEX(ConversionTable[Conversion Factor],MATCH(1,(ConversionTable[Source]='2. Facility Emissions'!M48)*(ConversionTable[Original Unit]='2. Facility Emissions'!N48),0))+'2. Facility Emissions'!T48*INDEX(ConversionTable[Conversion Factor],MATCH(1,(ConversionTable[Source]='2. Facility Emissions'!R48)*(ConversionTable[Original Unit]='2. Facility Emissions'!S48),0))+'2. Facility Emissions'!Y48*INDEX(ConversionTable[Conversion Factor],MATCH(1,(ConversionTable[Source]='2. Facility Emissions'!W48)*(ConversionTable[Original Unit]='2. Facility Emissions'!X48),0)))</f>
        <v>0</v>
      </c>
      <c r="D10" s="283">
        <f>DecarbCalcs2035[[#This Row],[Total Values]]*(1-('3. Decarbonization Strategy'!$C$26))</f>
        <v>0</v>
      </c>
      <c r="E10" s="283">
        <f>DecarbCalcs2035[[#This Row],[Energy Efficiency]]*(1-'3. Decarbonization Strategy'!$C$47)</f>
        <v>0</v>
      </c>
      <c r="F10" s="283">
        <f>DecarbCalcs2035[[#This Row],[Electrification]]-DecarbCalcs2035[[#This Row],[Energy Efficiency]]*('3. Decarbonization Strategy'!$C$48)</f>
        <v>0</v>
      </c>
      <c r="G10" s="283">
        <f>DecarbCalcs2035[[#This Row],[Fuel Switching]]</f>
        <v>0</v>
      </c>
      <c r="H10" s="283">
        <f>DecarbCalcs2035[[#This Row],[Onsite]]</f>
        <v>0</v>
      </c>
      <c r="I10" s="283">
        <f>DecarbCalcs2035[[#This Row],[PPAs]]</f>
        <v>0</v>
      </c>
      <c r="J10" s="283">
        <f>DecarbCalcs2035[[#This Row],[Utility Programs]]</f>
        <v>0</v>
      </c>
      <c r="K10" s="283">
        <f>DecarbCalcs2035[[#This Row],[Fuel Switching]]</f>
        <v>0</v>
      </c>
      <c r="L10" s="283"/>
      <c r="O10" s="284"/>
      <c r="S10" s="366" t="s">
        <v>77</v>
      </c>
      <c r="T10" s="365" t="s">
        <v>72</v>
      </c>
      <c r="U10" s="386">
        <f>(DecarbCalcs2035[[#This Row],[Energy Efficiency]]-DecarbCalcs2035[[#This Row],[Total Values]])*EFs!$AB11</f>
        <v>0</v>
      </c>
      <c r="V10" s="385">
        <f>(DecarbCalcs2035[[#This Row],[Electrification]]-DecarbCalcs2035[[#This Row],[Energy Efficiency]])*EFs!$AB11</f>
        <v>0</v>
      </c>
      <c r="W10" s="386">
        <f>(DecarbCalcs2035[[#This Row],[Fuel Switching]]-DecarbCalcs2035[[#This Row],[Electrification]])*EFs!$AB11</f>
        <v>0</v>
      </c>
      <c r="X10" s="385">
        <f>(DecarbCalcs2035[[#This Row],[Onsite]]-DecarbCalcs2035[[#This Row],[Fuel Switching]])*EFs!$AB11</f>
        <v>0</v>
      </c>
      <c r="Y10" s="386">
        <f>(DecarbCalcs2035[[#This Row],[PPAs]]-DecarbCalcs2035[[#This Row],[Onsite]])*EFs!$AB11</f>
        <v>0</v>
      </c>
      <c r="Z10" s="385">
        <f>(DecarbCalcs2035[[#This Row],[Utility Programs]]-DecarbCalcs2035[[#This Row],[PPAs]])*EFs!$AB11</f>
        <v>0</v>
      </c>
      <c r="AA10" s="386">
        <f>(DecarbCalcs2035[[#This Row],[RECs]]-DecarbCalcs2035[[#This Row],[Utility Programs]])*EFs!$AB11</f>
        <v>0</v>
      </c>
      <c r="AB10" s="385">
        <f>(DecarbCalcs2035[[#This Row],[After Renewable Electricity]]-DecarbCalcs2035[[#This Row],[RECs]])*EFs!$AB11</f>
        <v>0</v>
      </c>
      <c r="AC10" s="386"/>
      <c r="AE10" s="366" t="s">
        <v>77</v>
      </c>
      <c r="AF10" s="365" t="s">
        <v>72</v>
      </c>
      <c r="AG10" s="386">
        <f>(DecarbCalcs2035[[#This Row],[Energy Efficiency]]-DecarbCalcs2035[[#This Row],[Total Values]])*EFs!$AC11</f>
        <v>0</v>
      </c>
      <c r="AH10" s="385">
        <f>(DecarbCalcs2035[[#This Row],[Electrification]]-DecarbCalcs2035[[#This Row],[Energy Efficiency]])*EFs!$AC11</f>
        <v>0</v>
      </c>
      <c r="AI10" s="386">
        <f>(DecarbCalcs2035[[#This Row],[Fuel Switching]]-DecarbCalcs2035[[#This Row],[Electrification]])*EFs!$AC11</f>
        <v>0</v>
      </c>
      <c r="AJ10" s="385">
        <f>(DecarbCalcs2035[[#This Row],[Onsite]]-DecarbCalcs2035[[#This Row],[Fuel Switching]])*EFs!$AC11</f>
        <v>0</v>
      </c>
      <c r="AK10" s="386">
        <f>(DecarbCalcs2035[[#This Row],[PPAs]]-DecarbCalcs2035[[#This Row],[Onsite]])*EFs!$AC11</f>
        <v>0</v>
      </c>
      <c r="AL10" s="385">
        <f>(DecarbCalcs2035[[#This Row],[Utility Programs]]-DecarbCalcs2035[[#This Row],[PPAs]])*EFs!$AC11</f>
        <v>0</v>
      </c>
      <c r="AM10" s="386">
        <f>(DecarbCalcs2035[[#This Row],[RECs]]-DecarbCalcs2035[[#This Row],[Utility Programs]])*EFs!$AC11</f>
        <v>0</v>
      </c>
      <c r="AN10" s="385">
        <f>(DecarbCalcs2035[[#This Row],[After Renewable Electricity]]-DecarbCalcs2035[[#This Row],[RECs]])*EFs!$AC11</f>
        <v>0</v>
      </c>
      <c r="AO10" s="386"/>
      <c r="AQ10" s="366" t="s">
        <v>77</v>
      </c>
      <c r="AR10" s="365" t="s">
        <v>72</v>
      </c>
      <c r="AS10" s="386">
        <f>U10*-Assumptions!$G$43</f>
        <v>0</v>
      </c>
      <c r="AT10" s="383">
        <f>(DecarbCalcs2035[[#This Row],[Energy Efficiency]]-DecarbCalcs2035[[#This Row],[Electrification]])/Assumptions!$G$47*Assumptions!$G$49*EFs!Y11*'3. Decarbonization Strategy'!$C$39+(DecarbCalcs2035[[#This Row],[Energy Efficiency]]-DecarbCalcs2035[[#This Row],[Electrification]])/Assumptions!$G$48*Assumptions!$G$51*EFs!Y11*'3. Decarbonization Strategy'!$C$40</f>
        <v>0</v>
      </c>
      <c r="AU10" s="386">
        <f>(DecarbCalcs2035[[#This Row],[Electrification]]-DecarbCalcs2035[[#This Row],[Fuel Switching]])/Assumptions!$G$56*Assumptions!$G$57*EFs!Y11</f>
        <v>0</v>
      </c>
      <c r="AV10" s="385"/>
      <c r="AW10" s="386"/>
      <c r="AX10" s="385"/>
      <c r="AY10" s="386"/>
      <c r="AZ10" s="385"/>
      <c r="BB10" s="366" t="s">
        <v>77</v>
      </c>
      <c r="BC10" s="365" t="s">
        <v>72</v>
      </c>
      <c r="BD10" s="382">
        <f>AG10*-Assumptions!$G$44</f>
        <v>0</v>
      </c>
      <c r="BE10" s="383">
        <f>(DecarbCalcs2035[[#This Row],[Energy Efficiency]]-DecarbCalcs2035[[#This Row],[Electrification]])/Assumptions!$G$47*Assumptions!$G$50*'3. Decarbonization Strategy'!$C$39*EFs!Y11+(DecarbCalcs2035[[#This Row],[Energy Efficiency]]-DecarbCalcs2035[[#This Row],[Electrification]])/Assumptions!$G$48*Assumptions!$G$52*'3. Decarbonization Strategy'!$C$40*EFs!Y11</f>
        <v>0</v>
      </c>
      <c r="BF10" s="386">
        <f>(DecarbCalcs2035[[#This Row],[Electrification]]-DecarbCalcs2035[[#This Row],[Fuel Switching]])/Assumptions!$G$56*Assumptions!$G$58*EFs!Y11</f>
        <v>0</v>
      </c>
      <c r="BG10" s="385"/>
      <c r="BH10" s="386"/>
      <c r="BI10" s="385"/>
      <c r="BJ10" s="386"/>
      <c r="BK10" s="385"/>
      <c r="BN10" s="288" t="s">
        <v>143</v>
      </c>
      <c r="BO10" s="422">
        <f t="shared" si="0"/>
        <v>0</v>
      </c>
      <c r="BP10" s="422">
        <f t="shared" si="1"/>
        <v>0</v>
      </c>
      <c r="BQ10" s="422">
        <f t="shared" si="6"/>
        <v>0</v>
      </c>
      <c r="BR10" s="422">
        <f t="shared" si="7"/>
        <v>0</v>
      </c>
      <c r="BS10" s="422">
        <f t="shared" si="2"/>
        <v>0</v>
      </c>
      <c r="BT10" s="422">
        <f t="shared" si="3"/>
        <v>0</v>
      </c>
      <c r="BU10" s="464" t="str">
        <f t="shared" si="8"/>
        <v>None</v>
      </c>
      <c r="BV10" s="341" t="e">
        <f t="shared" si="4"/>
        <v>#NUM!</v>
      </c>
      <c r="BW10" s="421" t="str">
        <f t="shared" si="5"/>
        <v>No expense savings</v>
      </c>
    </row>
    <row r="11" spans="1:78" ht="16.5" customHeight="1" x14ac:dyDescent="0.3">
      <c r="A11" t="s">
        <v>78</v>
      </c>
      <c r="B11" s="25" t="s">
        <v>72</v>
      </c>
      <c r="C11" s="286" cm="1">
        <f t="array" ref="C11">(1+'1. Emissions Forecast'!$C$31)^(2035-'1. Emissions Forecast'!$C$10)*('2. Facility Emissions'!E26*INDEX(ConversionTable[Conversion Factor],MATCH(1,(ConversionTable[Source]='2. Facility Emissions'!C26)*(ConversionTable[Original Unit]='2. Facility Emissions'!D26),0))+'2. Facility Emissions'!J26*INDEX(ConversionTable[Conversion Factor],MATCH(1,(ConversionTable[Source]='2. Facility Emissions'!H26)*(ConversionTable[Original Unit]='2. Facility Emissions'!I26),0))+'2. Facility Emissions'!O26*INDEX(ConversionTable[Conversion Factor],MATCH(1,(ConversionTable[Source]='2. Facility Emissions'!M26)*(ConversionTable[Original Unit]='2. Facility Emissions'!N26),0))+'2. Facility Emissions'!T26*INDEX(ConversionTable[Conversion Factor],MATCH(1,(ConversionTable[Source]='2. Facility Emissions'!R26)*(ConversionTable[Original Unit]='2. Facility Emissions'!S26),0))+'2. Facility Emissions'!Y26*INDEX(ConversionTable[Conversion Factor],MATCH(1,(ConversionTable[Source]='2. Facility Emissions'!W26)*(ConversionTable[Original Unit]='2. Facility Emissions'!X26),0))+'2. Facility Emissions'!E49*INDEX(ConversionTable[Conversion Factor],MATCH(1,(ConversionTable[Source]='2. Facility Emissions'!C49)*(ConversionTable[Original Unit]='2. Facility Emissions'!D49),0))+'2. Facility Emissions'!J49*INDEX(ConversionTable[Conversion Factor],MATCH(1,(ConversionTable[Source]='2. Facility Emissions'!H49)*(ConversionTable[Original Unit]='2. Facility Emissions'!I49),0))+'2. Facility Emissions'!O49*INDEX(ConversionTable[Conversion Factor],MATCH(1,(ConversionTable[Source]='2. Facility Emissions'!M49)*(ConversionTable[Original Unit]='2. Facility Emissions'!N49),0))+'2. Facility Emissions'!T49*INDEX(ConversionTable[Conversion Factor],MATCH(1,(ConversionTable[Source]='2. Facility Emissions'!R49)*(ConversionTable[Original Unit]='2. Facility Emissions'!S49),0))+'2. Facility Emissions'!Y49*INDEX(ConversionTable[Conversion Factor],MATCH(1,(ConversionTable[Source]='2. Facility Emissions'!W49)*(ConversionTable[Original Unit]='2. Facility Emissions'!X49),0)))</f>
        <v>0</v>
      </c>
      <c r="D11" s="283">
        <f>DecarbCalcs2035[[#This Row],[Total Values]]*(1-('3. Decarbonization Strategy'!$C$26))</f>
        <v>0</v>
      </c>
      <c r="E11" s="283">
        <f>DecarbCalcs2035[[#This Row],[Energy Efficiency]]*(1-'3. Decarbonization Strategy'!$C$47)</f>
        <v>0</v>
      </c>
      <c r="F11" s="283">
        <f>DecarbCalcs2035[[#This Row],[Electrification]]-DecarbCalcs2035[[#This Row],[Energy Efficiency]]*('3. Decarbonization Strategy'!$C$48)</f>
        <v>0</v>
      </c>
      <c r="G11" s="283">
        <f>DecarbCalcs2035[[#This Row],[Fuel Switching]]</f>
        <v>0</v>
      </c>
      <c r="H11" s="283">
        <f>DecarbCalcs2035[[#This Row],[Onsite]]</f>
        <v>0</v>
      </c>
      <c r="I11" s="283">
        <f>DecarbCalcs2035[[#This Row],[PPAs]]</f>
        <v>0</v>
      </c>
      <c r="J11" s="283">
        <f>DecarbCalcs2035[[#This Row],[Utility Programs]]</f>
        <v>0</v>
      </c>
      <c r="K11" s="283">
        <f>DecarbCalcs2035[[#This Row],[Fuel Switching]]</f>
        <v>0</v>
      </c>
      <c r="L11" s="283"/>
      <c r="S11" s="367" t="s">
        <v>78</v>
      </c>
      <c r="T11" s="363" t="s">
        <v>72</v>
      </c>
      <c r="U11" s="387">
        <f>(DecarbCalcs2035[[#This Row],[Energy Efficiency]]-DecarbCalcs2035[[#This Row],[Total Values]])*EFs!$AB12</f>
        <v>0</v>
      </c>
      <c r="V11" s="383">
        <f>(DecarbCalcs2035[[#This Row],[Electrification]]-DecarbCalcs2035[[#This Row],[Energy Efficiency]])*EFs!$AB12</f>
        <v>0</v>
      </c>
      <c r="W11" s="387">
        <f>(DecarbCalcs2035[[#This Row],[Fuel Switching]]-DecarbCalcs2035[[#This Row],[Electrification]])*EFs!$AB12</f>
        <v>0</v>
      </c>
      <c r="X11" s="383">
        <f>(DecarbCalcs2035[[#This Row],[Onsite]]-DecarbCalcs2035[[#This Row],[Fuel Switching]])*EFs!$AB12</f>
        <v>0</v>
      </c>
      <c r="Y11" s="387">
        <f>(DecarbCalcs2035[[#This Row],[PPAs]]-DecarbCalcs2035[[#This Row],[Onsite]])*EFs!$AB12</f>
        <v>0</v>
      </c>
      <c r="Z11" s="383">
        <f>(DecarbCalcs2035[[#This Row],[Utility Programs]]-DecarbCalcs2035[[#This Row],[PPAs]])*EFs!$AB12</f>
        <v>0</v>
      </c>
      <c r="AA11" s="387">
        <f>(DecarbCalcs2035[[#This Row],[RECs]]-DecarbCalcs2035[[#This Row],[Utility Programs]])*EFs!$AB12</f>
        <v>0</v>
      </c>
      <c r="AB11" s="383">
        <f>(DecarbCalcs2035[[#This Row],[After Renewable Electricity]]-DecarbCalcs2035[[#This Row],[RECs]])*EFs!$AB12</f>
        <v>0</v>
      </c>
      <c r="AC11" s="387"/>
      <c r="AE11" s="367" t="s">
        <v>78</v>
      </c>
      <c r="AF11" s="363" t="s">
        <v>72</v>
      </c>
      <c r="AG11" s="387">
        <f>(DecarbCalcs2035[[#This Row],[Energy Efficiency]]-DecarbCalcs2035[[#This Row],[Total Values]])*EFs!$AC12</f>
        <v>0</v>
      </c>
      <c r="AH11" s="383">
        <f>(DecarbCalcs2035[[#This Row],[Electrification]]-DecarbCalcs2035[[#This Row],[Energy Efficiency]])*EFs!$AC12</f>
        <v>0</v>
      </c>
      <c r="AI11" s="387">
        <f>(DecarbCalcs2035[[#This Row],[Fuel Switching]]-DecarbCalcs2035[[#This Row],[Electrification]])*EFs!$AC12</f>
        <v>0</v>
      </c>
      <c r="AJ11" s="383">
        <f>(DecarbCalcs2035[[#This Row],[Onsite]]-DecarbCalcs2035[[#This Row],[Fuel Switching]])*EFs!$AC12</f>
        <v>0</v>
      </c>
      <c r="AK11" s="387">
        <f>(DecarbCalcs2035[[#This Row],[PPAs]]-DecarbCalcs2035[[#This Row],[Onsite]])*EFs!$AC12</f>
        <v>0</v>
      </c>
      <c r="AL11" s="383">
        <f>(DecarbCalcs2035[[#This Row],[Utility Programs]]-DecarbCalcs2035[[#This Row],[PPAs]])*EFs!$AC12</f>
        <v>0</v>
      </c>
      <c r="AM11" s="387">
        <f>(DecarbCalcs2035[[#This Row],[RECs]]-DecarbCalcs2035[[#This Row],[Utility Programs]])*EFs!$AC12</f>
        <v>0</v>
      </c>
      <c r="AN11" s="383">
        <f>(DecarbCalcs2035[[#This Row],[After Renewable Electricity]]-DecarbCalcs2035[[#This Row],[RECs]])*EFs!$AC12</f>
        <v>0</v>
      </c>
      <c r="AO11" s="387"/>
      <c r="AQ11" s="367" t="s">
        <v>78</v>
      </c>
      <c r="AR11" s="363" t="s">
        <v>72</v>
      </c>
      <c r="AS11" s="387">
        <f>U11*-Assumptions!$G$43</f>
        <v>0</v>
      </c>
      <c r="AT11" s="383">
        <f>(DecarbCalcs2035[[#This Row],[Energy Efficiency]]-DecarbCalcs2035[[#This Row],[Electrification]])/Assumptions!$G$47*Assumptions!$G$49*EFs!Y12*'3. Decarbonization Strategy'!$C$39+(DecarbCalcs2035[[#This Row],[Energy Efficiency]]-DecarbCalcs2035[[#This Row],[Electrification]])/Assumptions!$G$48*Assumptions!$G$51*EFs!Y12*'3. Decarbonization Strategy'!$C$40</f>
        <v>0</v>
      </c>
      <c r="AU11" s="387">
        <f>(DecarbCalcs2035[[#This Row],[Electrification]]-DecarbCalcs2035[[#This Row],[Fuel Switching]])/Assumptions!$G$56*Assumptions!$G$57*EFs!Y12</f>
        <v>0</v>
      </c>
      <c r="AV11" s="383"/>
      <c r="AW11" s="387"/>
      <c r="AX11" s="383"/>
      <c r="AY11" s="387"/>
      <c r="AZ11" s="383"/>
      <c r="BB11" s="367" t="s">
        <v>78</v>
      </c>
      <c r="BC11" s="363" t="s">
        <v>72</v>
      </c>
      <c r="BD11" s="382">
        <f>AG11*-Assumptions!$G$44</f>
        <v>0</v>
      </c>
      <c r="BE11" s="383">
        <f>(DecarbCalcs2035[[#This Row],[Energy Efficiency]]-DecarbCalcs2035[[#This Row],[Electrification]])/Assumptions!$G$47*Assumptions!$G$50*'3. Decarbonization Strategy'!$C$39*EFs!Y12+(DecarbCalcs2035[[#This Row],[Energy Efficiency]]-DecarbCalcs2035[[#This Row],[Electrification]])/Assumptions!$G$48*Assumptions!$G$52*'3. Decarbonization Strategy'!$C$40*EFs!Y12</f>
        <v>0</v>
      </c>
      <c r="BF11" s="387">
        <f>(DecarbCalcs2035[[#This Row],[Electrification]]-DecarbCalcs2035[[#This Row],[Fuel Switching]])/Assumptions!$G$56*Assumptions!$G$58*EFs!Y12</f>
        <v>0</v>
      </c>
      <c r="BG11" s="383"/>
      <c r="BH11" s="387"/>
      <c r="BI11" s="383"/>
      <c r="BJ11" s="387"/>
      <c r="BK11" s="383"/>
      <c r="BN11" s="288" t="s">
        <v>144</v>
      </c>
      <c r="BO11" s="422">
        <f t="shared" si="0"/>
        <v>0</v>
      </c>
      <c r="BP11" s="422">
        <f t="shared" si="1"/>
        <v>0</v>
      </c>
      <c r="BQ11" s="422">
        <f t="shared" si="6"/>
        <v>0</v>
      </c>
      <c r="BR11" s="422">
        <f t="shared" si="7"/>
        <v>0</v>
      </c>
      <c r="BS11" s="422">
        <f t="shared" si="2"/>
        <v>0</v>
      </c>
      <c r="BT11" s="422">
        <f t="shared" si="3"/>
        <v>0</v>
      </c>
      <c r="BU11" s="464" t="str">
        <f t="shared" si="8"/>
        <v>None</v>
      </c>
      <c r="BV11" s="341" t="e">
        <f t="shared" si="4"/>
        <v>#NUM!</v>
      </c>
      <c r="BW11" s="421" t="str">
        <f t="shared" si="5"/>
        <v>No expense savings</v>
      </c>
    </row>
    <row r="12" spans="1:78" ht="16.5" customHeight="1" x14ac:dyDescent="0.3">
      <c r="A12" t="s">
        <v>79</v>
      </c>
      <c r="B12" s="25" t="s">
        <v>72</v>
      </c>
      <c r="C12" s="286" cm="1">
        <f t="array" ref="C12">(1+'1. Emissions Forecast'!$C$31)^(2035-'1. Emissions Forecast'!$C$10)*('2. Facility Emissions'!E27*INDEX(ConversionTable[Conversion Factor],MATCH(1,(ConversionTable[Source]='2. Facility Emissions'!C27)*(ConversionTable[Original Unit]='2. Facility Emissions'!D27),0))+'2. Facility Emissions'!J27*INDEX(ConversionTable[Conversion Factor],MATCH(1,(ConversionTable[Source]='2. Facility Emissions'!H27)*(ConversionTable[Original Unit]='2. Facility Emissions'!I27),0))+'2. Facility Emissions'!O27*INDEX(ConversionTable[Conversion Factor],MATCH(1,(ConversionTable[Source]='2. Facility Emissions'!M27)*(ConversionTable[Original Unit]='2. Facility Emissions'!N27),0))+'2. Facility Emissions'!T27*INDEX(ConversionTable[Conversion Factor],MATCH(1,(ConversionTable[Source]='2. Facility Emissions'!R27)*(ConversionTable[Original Unit]='2. Facility Emissions'!S27),0))+'2. Facility Emissions'!Y27*INDEX(ConversionTable[Conversion Factor],MATCH(1,(ConversionTable[Source]='2. Facility Emissions'!W27)*(ConversionTable[Original Unit]='2. Facility Emissions'!X27),0))+'2. Facility Emissions'!E50*INDEX(ConversionTable[Conversion Factor],MATCH(1,(ConversionTable[Source]='2. Facility Emissions'!C50)*(ConversionTable[Original Unit]='2. Facility Emissions'!D50),0))+'2. Facility Emissions'!J50*INDEX(ConversionTable[Conversion Factor],MATCH(1,(ConversionTable[Source]='2. Facility Emissions'!H50)*(ConversionTable[Original Unit]='2. Facility Emissions'!I50),0))+'2. Facility Emissions'!O50*INDEX(ConversionTable[Conversion Factor],MATCH(1,(ConversionTable[Source]='2. Facility Emissions'!M50)*(ConversionTable[Original Unit]='2. Facility Emissions'!N50),0))+'2. Facility Emissions'!T50*INDEX(ConversionTable[Conversion Factor],MATCH(1,(ConversionTable[Source]='2. Facility Emissions'!R50)*(ConversionTable[Original Unit]='2. Facility Emissions'!S50),0))+'2. Facility Emissions'!Y50*INDEX(ConversionTable[Conversion Factor],MATCH(1,(ConversionTable[Source]='2. Facility Emissions'!W50)*(ConversionTable[Original Unit]='2. Facility Emissions'!X50),0)))</f>
        <v>0</v>
      </c>
      <c r="D12" s="283">
        <f>DecarbCalcs2035[[#This Row],[Total Values]]*(1-('3. Decarbonization Strategy'!$C$26))</f>
        <v>0</v>
      </c>
      <c r="E12" s="283">
        <f>DecarbCalcs2035[[#This Row],[Energy Efficiency]]*(1-'3. Decarbonization Strategy'!$C$47)</f>
        <v>0</v>
      </c>
      <c r="F12" s="283">
        <f>DecarbCalcs2035[[#This Row],[Electrification]]-DecarbCalcs2035[[#This Row],[Energy Efficiency]]*('3. Decarbonization Strategy'!$C$48)</f>
        <v>0</v>
      </c>
      <c r="G12" s="283">
        <f>DecarbCalcs2035[[#This Row],[Fuel Switching]]</f>
        <v>0</v>
      </c>
      <c r="H12" s="283">
        <f>DecarbCalcs2035[[#This Row],[Onsite]]</f>
        <v>0</v>
      </c>
      <c r="I12" s="283">
        <f>DecarbCalcs2035[[#This Row],[PPAs]]</f>
        <v>0</v>
      </c>
      <c r="J12" s="283">
        <f>DecarbCalcs2035[[#This Row],[Utility Programs]]</f>
        <v>0</v>
      </c>
      <c r="K12" s="283">
        <f>DecarbCalcs2035[[#This Row],[Fuel Switching]]</f>
        <v>0</v>
      </c>
      <c r="L12" s="283"/>
      <c r="N12" s="345" t="s">
        <v>156</v>
      </c>
      <c r="O12" s="345" t="s">
        <v>157</v>
      </c>
      <c r="P12" s="345" t="s">
        <v>158</v>
      </c>
      <c r="S12" s="366" t="s">
        <v>79</v>
      </c>
      <c r="T12" s="365" t="s">
        <v>72</v>
      </c>
      <c r="U12" s="386">
        <f>(DecarbCalcs2035[[#This Row],[Energy Efficiency]]-DecarbCalcs2035[[#This Row],[Total Values]])*EFs!$AB13</f>
        <v>0</v>
      </c>
      <c r="V12" s="385">
        <f>(DecarbCalcs2035[[#This Row],[Electrification]]-DecarbCalcs2035[[#This Row],[Energy Efficiency]])*EFs!$AB13</f>
        <v>0</v>
      </c>
      <c r="W12" s="386">
        <f>(DecarbCalcs2035[[#This Row],[Fuel Switching]]-DecarbCalcs2035[[#This Row],[Electrification]])*EFs!$AB13</f>
        <v>0</v>
      </c>
      <c r="X12" s="385">
        <f>(DecarbCalcs2035[[#This Row],[Onsite]]-DecarbCalcs2035[[#This Row],[Fuel Switching]])*EFs!$AB13</f>
        <v>0</v>
      </c>
      <c r="Y12" s="386">
        <f>(DecarbCalcs2035[[#This Row],[PPAs]]-DecarbCalcs2035[[#This Row],[Onsite]])*EFs!$AB13</f>
        <v>0</v>
      </c>
      <c r="Z12" s="385">
        <f>(DecarbCalcs2035[[#This Row],[Utility Programs]]-DecarbCalcs2035[[#This Row],[PPAs]])*EFs!$AB13</f>
        <v>0</v>
      </c>
      <c r="AA12" s="386">
        <f>(DecarbCalcs2035[[#This Row],[RECs]]-DecarbCalcs2035[[#This Row],[Utility Programs]])*EFs!$AB13</f>
        <v>0</v>
      </c>
      <c r="AB12" s="385">
        <f>(DecarbCalcs2035[[#This Row],[After Renewable Electricity]]-DecarbCalcs2035[[#This Row],[RECs]])*EFs!$AB13</f>
        <v>0</v>
      </c>
      <c r="AC12" s="386"/>
      <c r="AE12" s="366" t="s">
        <v>79</v>
      </c>
      <c r="AF12" s="365" t="s">
        <v>72</v>
      </c>
      <c r="AG12" s="386">
        <f>(DecarbCalcs2035[[#This Row],[Energy Efficiency]]-DecarbCalcs2035[[#This Row],[Total Values]])*EFs!$AC13</f>
        <v>0</v>
      </c>
      <c r="AH12" s="385">
        <f>(DecarbCalcs2035[[#This Row],[Electrification]]-DecarbCalcs2035[[#This Row],[Energy Efficiency]])*EFs!$AC13</f>
        <v>0</v>
      </c>
      <c r="AI12" s="386">
        <f>(DecarbCalcs2035[[#This Row],[Fuel Switching]]-DecarbCalcs2035[[#This Row],[Electrification]])*EFs!$AC13</f>
        <v>0</v>
      </c>
      <c r="AJ12" s="385">
        <f>(DecarbCalcs2035[[#This Row],[Onsite]]-DecarbCalcs2035[[#This Row],[Fuel Switching]])*EFs!$AC13</f>
        <v>0</v>
      </c>
      <c r="AK12" s="386">
        <f>(DecarbCalcs2035[[#This Row],[PPAs]]-DecarbCalcs2035[[#This Row],[Onsite]])*EFs!$AC13</f>
        <v>0</v>
      </c>
      <c r="AL12" s="385">
        <f>(DecarbCalcs2035[[#This Row],[Utility Programs]]-DecarbCalcs2035[[#This Row],[PPAs]])*EFs!$AC13</f>
        <v>0</v>
      </c>
      <c r="AM12" s="386">
        <f>(DecarbCalcs2035[[#This Row],[RECs]]-DecarbCalcs2035[[#This Row],[Utility Programs]])*EFs!$AC13</f>
        <v>0</v>
      </c>
      <c r="AN12" s="385">
        <f>(DecarbCalcs2035[[#This Row],[After Renewable Electricity]]-DecarbCalcs2035[[#This Row],[RECs]])*EFs!$AC13</f>
        <v>0</v>
      </c>
      <c r="AO12" s="386"/>
      <c r="AQ12" s="366" t="s">
        <v>79</v>
      </c>
      <c r="AR12" s="365" t="s">
        <v>72</v>
      </c>
      <c r="AS12" s="386">
        <f>U12*-Assumptions!$G$43</f>
        <v>0</v>
      </c>
      <c r="AT12" s="383">
        <f>(DecarbCalcs2035[[#This Row],[Energy Efficiency]]-DecarbCalcs2035[[#This Row],[Electrification]])/Assumptions!$G$47*Assumptions!$G$49*EFs!Y13*'3. Decarbonization Strategy'!$C$39+(DecarbCalcs2035[[#This Row],[Energy Efficiency]]-DecarbCalcs2035[[#This Row],[Electrification]])/Assumptions!$G$48*Assumptions!$G$51*EFs!Y13*'3. Decarbonization Strategy'!$C$40</f>
        <v>0</v>
      </c>
      <c r="AU12" s="386">
        <f>(DecarbCalcs2035[[#This Row],[Electrification]]-DecarbCalcs2035[[#This Row],[Fuel Switching]])/Assumptions!$G$56*Assumptions!$G$57*EFs!Y13</f>
        <v>0</v>
      </c>
      <c r="AV12" s="385"/>
      <c r="AW12" s="386"/>
      <c r="AX12" s="385"/>
      <c r="AY12" s="386"/>
      <c r="AZ12" s="385"/>
      <c r="BB12" s="366" t="s">
        <v>79</v>
      </c>
      <c r="BC12" s="365" t="s">
        <v>72</v>
      </c>
      <c r="BD12" s="382">
        <f>AG12*-Assumptions!$G$44</f>
        <v>0</v>
      </c>
      <c r="BE12" s="383">
        <f>(DecarbCalcs2035[[#This Row],[Energy Efficiency]]-DecarbCalcs2035[[#This Row],[Electrification]])/Assumptions!$G$47*Assumptions!$G$50*'3. Decarbonization Strategy'!$C$39*EFs!Y13+(DecarbCalcs2035[[#This Row],[Energy Efficiency]]-DecarbCalcs2035[[#This Row],[Electrification]])/Assumptions!$G$48*Assumptions!$G$52*'3. Decarbonization Strategy'!$C$40*EFs!Y13</f>
        <v>0</v>
      </c>
      <c r="BF12" s="386">
        <f>(DecarbCalcs2035[[#This Row],[Electrification]]-DecarbCalcs2035[[#This Row],[Fuel Switching]])/Assumptions!$G$56*Assumptions!$G$58*EFs!Y13</f>
        <v>0</v>
      </c>
      <c r="BG12" s="385"/>
      <c r="BH12" s="386"/>
      <c r="BI12" s="385"/>
      <c r="BJ12" s="386"/>
      <c r="BK12" s="385"/>
      <c r="BN12" s="425" t="s">
        <v>159</v>
      </c>
      <c r="BO12" s="442">
        <f>IF(ABS(SUM(BO5:BO11))&gt;ABS(SUM(BP5:BP11)),SUM(BP5:BP11),SUM(BO5:BO11))</f>
        <v>0</v>
      </c>
      <c r="BP12" s="442">
        <f>IF(ABS(SUM(BP5:BP11))&lt;ABS(SUM(BO5:BO11)),SUM(BO5:BO11),SUM(BP5:BP11))</f>
        <v>0</v>
      </c>
      <c r="BQ12" s="422">
        <f t="shared" si="6"/>
        <v>0</v>
      </c>
      <c r="BR12" s="422">
        <f t="shared" si="7"/>
        <v>0</v>
      </c>
      <c r="BS12" s="442">
        <f>SUM(BS5:BS11)</f>
        <v>0</v>
      </c>
      <c r="BT12" s="442">
        <f>SUM(BT5:BT11)</f>
        <v>0</v>
      </c>
      <c r="BU12" s="464" t="str">
        <f t="shared" si="8"/>
        <v>None</v>
      </c>
      <c r="BV12" s="341" t="e">
        <f t="shared" si="4"/>
        <v>#NUM!</v>
      </c>
      <c r="BW12" s="443" t="str">
        <f t="shared" si="5"/>
        <v>No expense savings</v>
      </c>
    </row>
    <row r="13" spans="1:78" ht="16.5" customHeight="1" x14ac:dyDescent="0.3">
      <c r="A13" t="s">
        <v>81</v>
      </c>
      <c r="B13" s="25" t="s">
        <v>72</v>
      </c>
      <c r="C13" s="286" cm="1">
        <f t="array" ref="C13">(1+'1. Emissions Forecast'!$C$31)^(2035-'1. Emissions Forecast'!$C$10)*('2. Facility Emissions'!E28*INDEX(ConversionTable[Conversion Factor],MATCH(1,(ConversionTable[Source]='2. Facility Emissions'!C28)*(ConversionTable[Original Unit]='2. Facility Emissions'!D28),0))+'2. Facility Emissions'!J28*INDEX(ConversionTable[Conversion Factor],MATCH(1,(ConversionTable[Source]='2. Facility Emissions'!H28)*(ConversionTable[Original Unit]='2. Facility Emissions'!I28),0))+'2. Facility Emissions'!O28*INDEX(ConversionTable[Conversion Factor],MATCH(1,(ConversionTable[Source]='2. Facility Emissions'!M28)*(ConversionTable[Original Unit]='2. Facility Emissions'!N28),0))+'2. Facility Emissions'!T28*INDEX(ConversionTable[Conversion Factor],MATCH(1,(ConversionTable[Source]='2. Facility Emissions'!R28)*(ConversionTable[Original Unit]='2. Facility Emissions'!S28),0))+'2. Facility Emissions'!Y28*INDEX(ConversionTable[Conversion Factor],MATCH(1,(ConversionTable[Source]='2. Facility Emissions'!W28)*(ConversionTable[Original Unit]='2. Facility Emissions'!X28),0))+'2. Facility Emissions'!E51*INDEX(ConversionTable[Conversion Factor],MATCH(1,(ConversionTable[Source]='2. Facility Emissions'!C51)*(ConversionTable[Original Unit]='2. Facility Emissions'!D51),0))+'2. Facility Emissions'!J51*INDEX(ConversionTable[Conversion Factor],MATCH(1,(ConversionTable[Source]='2. Facility Emissions'!H51)*(ConversionTable[Original Unit]='2. Facility Emissions'!I51),0))+'2. Facility Emissions'!O51*INDEX(ConversionTable[Conversion Factor],MATCH(1,(ConversionTable[Source]='2. Facility Emissions'!M51)*(ConversionTable[Original Unit]='2. Facility Emissions'!N51),0))+'2. Facility Emissions'!T51*INDEX(ConversionTable[Conversion Factor],MATCH(1,(ConversionTable[Source]='2. Facility Emissions'!R51)*(ConversionTable[Original Unit]='2. Facility Emissions'!S51),0))+'2. Facility Emissions'!Y51*INDEX(ConversionTable[Conversion Factor],MATCH(1,(ConversionTable[Source]='2. Facility Emissions'!W51)*(ConversionTable[Original Unit]='2. Facility Emissions'!X51),0)))</f>
        <v>0</v>
      </c>
      <c r="D13" s="283">
        <f>DecarbCalcs2035[[#This Row],[Total Values]]*(1-('3. Decarbonization Strategy'!$C$26))</f>
        <v>0</v>
      </c>
      <c r="E13" s="283">
        <f>DecarbCalcs2035[[#This Row],[Energy Efficiency]]*(1-'3. Decarbonization Strategy'!$C$47)</f>
        <v>0</v>
      </c>
      <c r="F13" s="283">
        <f>DecarbCalcs2035[[#This Row],[Electrification]]-DecarbCalcs2035[[#This Row],[Energy Efficiency]]*('3. Decarbonization Strategy'!$C$48)</f>
        <v>0</v>
      </c>
      <c r="G13" s="283">
        <f>DecarbCalcs2035[[#This Row],[Fuel Switching]]</f>
        <v>0</v>
      </c>
      <c r="H13" s="283">
        <f>DecarbCalcs2035[[#This Row],[Onsite]]</f>
        <v>0</v>
      </c>
      <c r="I13" s="283">
        <f>DecarbCalcs2035[[#This Row],[PPAs]]</f>
        <v>0</v>
      </c>
      <c r="J13" s="283">
        <f>DecarbCalcs2035[[#This Row],[Utility Programs]]</f>
        <v>0</v>
      </c>
      <c r="K13" s="283">
        <f>DecarbCalcs2035[[#This Row],[Fuel Switching]]</f>
        <v>0</v>
      </c>
      <c r="L13" s="283"/>
      <c r="N13" s="345" t="s">
        <v>160</v>
      </c>
      <c r="O13" s="341" t="e">
        <f t="shared" ref="O13:O21" si="9">P13/SUM($P$13:$P$21)</f>
        <v>#DIV/0!</v>
      </c>
      <c r="P13" s="346">
        <f>IF('3. Decarbonization Strategy'!C99="Yes",Transformation!K25,Transformation!K24)</f>
        <v>0</v>
      </c>
      <c r="S13" s="367" t="s">
        <v>81</v>
      </c>
      <c r="T13" s="363" t="s">
        <v>72</v>
      </c>
      <c r="U13" s="387">
        <f>(DecarbCalcs2035[[#This Row],[Energy Efficiency]]-DecarbCalcs2035[[#This Row],[Total Values]])*EFs!$AB14</f>
        <v>0</v>
      </c>
      <c r="V13" s="383">
        <f>(DecarbCalcs2035[[#This Row],[Electrification]]-DecarbCalcs2035[[#This Row],[Energy Efficiency]])*EFs!$AB14</f>
        <v>0</v>
      </c>
      <c r="W13" s="387">
        <f>(DecarbCalcs2035[[#This Row],[Fuel Switching]]-DecarbCalcs2035[[#This Row],[Electrification]])*EFs!$AB14</f>
        <v>0</v>
      </c>
      <c r="X13" s="383">
        <f>(DecarbCalcs2035[[#This Row],[Onsite]]-DecarbCalcs2035[[#This Row],[Fuel Switching]])*EFs!$AB14</f>
        <v>0</v>
      </c>
      <c r="Y13" s="387">
        <f>(DecarbCalcs2035[[#This Row],[PPAs]]-DecarbCalcs2035[[#This Row],[Onsite]])*EFs!$AB14</f>
        <v>0</v>
      </c>
      <c r="Z13" s="383">
        <f>(DecarbCalcs2035[[#This Row],[Utility Programs]]-DecarbCalcs2035[[#This Row],[PPAs]])*EFs!$AB14</f>
        <v>0</v>
      </c>
      <c r="AA13" s="387">
        <f>(DecarbCalcs2035[[#This Row],[RECs]]-DecarbCalcs2035[[#This Row],[Utility Programs]])*EFs!$AB14</f>
        <v>0</v>
      </c>
      <c r="AB13" s="383">
        <f>(DecarbCalcs2035[[#This Row],[After Renewable Electricity]]-DecarbCalcs2035[[#This Row],[RECs]])*EFs!$AB14</f>
        <v>0</v>
      </c>
      <c r="AC13" s="387"/>
      <c r="AE13" s="367" t="s">
        <v>81</v>
      </c>
      <c r="AF13" s="363" t="s">
        <v>72</v>
      </c>
      <c r="AG13" s="387">
        <f>(DecarbCalcs2035[[#This Row],[Energy Efficiency]]-DecarbCalcs2035[[#This Row],[Total Values]])*EFs!$AC14</f>
        <v>0</v>
      </c>
      <c r="AH13" s="383">
        <f>(DecarbCalcs2035[[#This Row],[Electrification]]-DecarbCalcs2035[[#This Row],[Energy Efficiency]])*EFs!$AC14</f>
        <v>0</v>
      </c>
      <c r="AI13" s="387">
        <f>(DecarbCalcs2035[[#This Row],[Fuel Switching]]-DecarbCalcs2035[[#This Row],[Electrification]])*EFs!$AC14</f>
        <v>0</v>
      </c>
      <c r="AJ13" s="383">
        <f>(DecarbCalcs2035[[#This Row],[Onsite]]-DecarbCalcs2035[[#This Row],[Fuel Switching]])*EFs!$AC14</f>
        <v>0</v>
      </c>
      <c r="AK13" s="387">
        <f>(DecarbCalcs2035[[#This Row],[PPAs]]-DecarbCalcs2035[[#This Row],[Onsite]])*EFs!$AC14</f>
        <v>0</v>
      </c>
      <c r="AL13" s="383">
        <f>(DecarbCalcs2035[[#This Row],[Utility Programs]]-DecarbCalcs2035[[#This Row],[PPAs]])*EFs!$AC14</f>
        <v>0</v>
      </c>
      <c r="AM13" s="387">
        <f>(DecarbCalcs2035[[#This Row],[RECs]]-DecarbCalcs2035[[#This Row],[Utility Programs]])*EFs!$AC14</f>
        <v>0</v>
      </c>
      <c r="AN13" s="383">
        <f>(DecarbCalcs2035[[#This Row],[After Renewable Electricity]]-DecarbCalcs2035[[#This Row],[RECs]])*EFs!$AC14</f>
        <v>0</v>
      </c>
      <c r="AO13" s="387"/>
      <c r="AQ13" s="367" t="s">
        <v>81</v>
      </c>
      <c r="AR13" s="363" t="s">
        <v>72</v>
      </c>
      <c r="AS13" s="387">
        <f>U13*-Assumptions!$G$43</f>
        <v>0</v>
      </c>
      <c r="AT13" s="383">
        <f>(DecarbCalcs2035[[#This Row],[Energy Efficiency]]-DecarbCalcs2035[[#This Row],[Electrification]])/Assumptions!$G$47*Assumptions!$G$49*EFs!Y14*'3. Decarbonization Strategy'!$C$39+(DecarbCalcs2035[[#This Row],[Energy Efficiency]]-DecarbCalcs2035[[#This Row],[Electrification]])/Assumptions!$G$48*Assumptions!$G$51*EFs!Y14*'3. Decarbonization Strategy'!$C$40</f>
        <v>0</v>
      </c>
      <c r="AU13" s="387">
        <f>(DecarbCalcs2035[[#This Row],[Electrification]]-DecarbCalcs2035[[#This Row],[Fuel Switching]])/Assumptions!$G$56*Assumptions!$G$57*EFs!Y14</f>
        <v>0</v>
      </c>
      <c r="AV13" s="383"/>
      <c r="AW13" s="387"/>
      <c r="AX13" s="383"/>
      <c r="AY13" s="387"/>
      <c r="AZ13" s="383"/>
      <c r="BB13" s="367" t="s">
        <v>81</v>
      </c>
      <c r="BC13" s="363" t="s">
        <v>72</v>
      </c>
      <c r="BD13" s="382">
        <f>AG13*-Assumptions!$G$44</f>
        <v>0</v>
      </c>
      <c r="BE13" s="383">
        <f>(DecarbCalcs2035[[#This Row],[Energy Efficiency]]-DecarbCalcs2035[[#This Row],[Electrification]])/Assumptions!$G$47*Assumptions!$G$50*'3. Decarbonization Strategy'!$C$39*EFs!Y14+(DecarbCalcs2035[[#This Row],[Energy Efficiency]]-DecarbCalcs2035[[#This Row],[Electrification]])/Assumptions!$G$48*Assumptions!$G$52*'3. Decarbonization Strategy'!$C$40*EFs!Y14</f>
        <v>0</v>
      </c>
      <c r="BF13" s="387">
        <f>(DecarbCalcs2035[[#This Row],[Electrification]]-DecarbCalcs2035[[#This Row],[Fuel Switching]])/Assumptions!$G$56*Assumptions!$G$58*EFs!Y14</f>
        <v>0</v>
      </c>
      <c r="BG13" s="383"/>
      <c r="BH13" s="387"/>
      <c r="BI13" s="383"/>
      <c r="BJ13" s="387"/>
      <c r="BK13" s="383"/>
    </row>
    <row r="14" spans="1:78" ht="16.5" customHeight="1" x14ac:dyDescent="0.3">
      <c r="A14" t="s">
        <v>82</v>
      </c>
      <c r="B14" s="25" t="s">
        <v>72</v>
      </c>
      <c r="C14" s="286" cm="1">
        <f t="array" ref="C14">(1+'1. Emissions Forecast'!$C$31)^(2035-'1. Emissions Forecast'!$C$10)*('2. Facility Emissions'!E29*INDEX(ConversionTable[Conversion Factor],MATCH(1,(ConversionTable[Source]='2. Facility Emissions'!C29)*(ConversionTable[Original Unit]='2. Facility Emissions'!D29),0))+'2. Facility Emissions'!J29*INDEX(ConversionTable[Conversion Factor],MATCH(1,(ConversionTable[Source]='2. Facility Emissions'!H29)*(ConversionTable[Original Unit]='2. Facility Emissions'!I29),0))+'2. Facility Emissions'!O29*INDEX(ConversionTable[Conversion Factor],MATCH(1,(ConversionTable[Source]='2. Facility Emissions'!M29)*(ConversionTable[Original Unit]='2. Facility Emissions'!N29),0))+'2. Facility Emissions'!T29*INDEX(ConversionTable[Conversion Factor],MATCH(1,(ConversionTable[Source]='2. Facility Emissions'!R29)*(ConversionTable[Original Unit]='2. Facility Emissions'!S29),0))+'2. Facility Emissions'!Y29*INDEX(ConversionTable[Conversion Factor],MATCH(1,(ConversionTable[Source]='2. Facility Emissions'!W29)*(ConversionTable[Original Unit]='2. Facility Emissions'!X29),0))+'2. Facility Emissions'!E52*INDEX(ConversionTable[Conversion Factor],MATCH(1,(ConversionTable[Source]='2. Facility Emissions'!C52)*(ConversionTable[Original Unit]='2. Facility Emissions'!D52),0))+'2. Facility Emissions'!J52*INDEX(ConversionTable[Conversion Factor],MATCH(1,(ConversionTable[Source]='2. Facility Emissions'!H52)*(ConversionTable[Original Unit]='2. Facility Emissions'!I52),0))+'2. Facility Emissions'!O52*INDEX(ConversionTable[Conversion Factor],MATCH(1,(ConversionTable[Source]='2. Facility Emissions'!M52)*(ConversionTable[Original Unit]='2. Facility Emissions'!N52),0))+'2. Facility Emissions'!T52*INDEX(ConversionTable[Conversion Factor],MATCH(1,(ConversionTable[Source]='2. Facility Emissions'!R52)*(ConversionTable[Original Unit]='2. Facility Emissions'!S52),0))+'2. Facility Emissions'!Y52*INDEX(ConversionTable[Conversion Factor],MATCH(1,(ConversionTable[Source]='2. Facility Emissions'!W52)*(ConversionTable[Original Unit]='2. Facility Emissions'!X52),0)))</f>
        <v>0</v>
      </c>
      <c r="D14" s="283">
        <f>DecarbCalcs2035[[#This Row],[Total Values]]*(1-('3. Decarbonization Strategy'!$C$26))</f>
        <v>0</v>
      </c>
      <c r="E14" s="283">
        <f>DecarbCalcs2035[[#This Row],[Energy Efficiency]]*(1-'3. Decarbonization Strategy'!$C$47)</f>
        <v>0</v>
      </c>
      <c r="F14" s="283">
        <f>DecarbCalcs2035[[#This Row],[Electrification]]-DecarbCalcs2035[[#This Row],[Energy Efficiency]]*('3. Decarbonization Strategy'!$C$48)</f>
        <v>0</v>
      </c>
      <c r="G14" s="283">
        <f>DecarbCalcs2035[[#This Row],[Fuel Switching]]</f>
        <v>0</v>
      </c>
      <c r="H14" s="283">
        <f>DecarbCalcs2035[[#This Row],[Onsite]]</f>
        <v>0</v>
      </c>
      <c r="I14" s="283">
        <f>DecarbCalcs2035[[#This Row],[PPAs]]</f>
        <v>0</v>
      </c>
      <c r="J14" s="283">
        <f>DecarbCalcs2035[[#This Row],[Utility Programs]]</f>
        <v>0</v>
      </c>
      <c r="K14" s="283">
        <f>DecarbCalcs2035[[#This Row],[Fuel Switching]]</f>
        <v>0</v>
      </c>
      <c r="L14" s="283"/>
      <c r="N14" s="345" t="s">
        <v>146</v>
      </c>
      <c r="O14" s="341" t="e">
        <f>P14/SUM($P$13:$P$21)</f>
        <v>#DIV/0!</v>
      </c>
      <c r="P14" s="346">
        <f>IF('3. Decarbonization Strategy'!C99="Yes",Transformation!C24-Transformation!C25,0)</f>
        <v>0</v>
      </c>
      <c r="S14" s="366" t="s">
        <v>82</v>
      </c>
      <c r="T14" s="365" t="s">
        <v>72</v>
      </c>
      <c r="U14" s="386">
        <f>(DecarbCalcs2035[[#This Row],[Energy Efficiency]]-DecarbCalcs2035[[#This Row],[Total Values]])*EFs!$AB15</f>
        <v>0</v>
      </c>
      <c r="V14" s="385">
        <f>(DecarbCalcs2035[[#This Row],[Electrification]]-DecarbCalcs2035[[#This Row],[Energy Efficiency]])*EFs!$AB15</f>
        <v>0</v>
      </c>
      <c r="W14" s="386">
        <f>(DecarbCalcs2035[[#This Row],[Fuel Switching]]-DecarbCalcs2035[[#This Row],[Electrification]])*EFs!$AB15</f>
        <v>0</v>
      </c>
      <c r="X14" s="385">
        <f>(DecarbCalcs2035[[#This Row],[Onsite]]-DecarbCalcs2035[[#This Row],[Fuel Switching]])*EFs!$AB15</f>
        <v>0</v>
      </c>
      <c r="Y14" s="386">
        <f>(DecarbCalcs2035[[#This Row],[PPAs]]-DecarbCalcs2035[[#This Row],[Onsite]])*EFs!$AB15</f>
        <v>0</v>
      </c>
      <c r="Z14" s="385">
        <f>(DecarbCalcs2035[[#This Row],[Utility Programs]]-DecarbCalcs2035[[#This Row],[PPAs]])*EFs!$AB15</f>
        <v>0</v>
      </c>
      <c r="AA14" s="386">
        <f>(DecarbCalcs2035[[#This Row],[RECs]]-DecarbCalcs2035[[#This Row],[Utility Programs]])*EFs!$AB15</f>
        <v>0</v>
      </c>
      <c r="AB14" s="385">
        <f>(DecarbCalcs2035[[#This Row],[After Renewable Electricity]]-DecarbCalcs2035[[#This Row],[RECs]])*EFs!$AB15</f>
        <v>0</v>
      </c>
      <c r="AC14" s="386"/>
      <c r="AE14" s="366" t="s">
        <v>82</v>
      </c>
      <c r="AF14" s="365" t="s">
        <v>72</v>
      </c>
      <c r="AG14" s="386">
        <f>(DecarbCalcs2035[[#This Row],[Energy Efficiency]]-DecarbCalcs2035[[#This Row],[Total Values]])*EFs!$AC15</f>
        <v>0</v>
      </c>
      <c r="AH14" s="385">
        <f>(DecarbCalcs2035[[#This Row],[Electrification]]-DecarbCalcs2035[[#This Row],[Energy Efficiency]])*EFs!$AC15</f>
        <v>0</v>
      </c>
      <c r="AI14" s="386">
        <f>(DecarbCalcs2035[[#This Row],[Fuel Switching]]-DecarbCalcs2035[[#This Row],[Electrification]])*EFs!$AC15</f>
        <v>0</v>
      </c>
      <c r="AJ14" s="385">
        <f>(DecarbCalcs2035[[#This Row],[Onsite]]-DecarbCalcs2035[[#This Row],[Fuel Switching]])*EFs!$AC15</f>
        <v>0</v>
      </c>
      <c r="AK14" s="386">
        <f>(DecarbCalcs2035[[#This Row],[PPAs]]-DecarbCalcs2035[[#This Row],[Onsite]])*EFs!$AC15</f>
        <v>0</v>
      </c>
      <c r="AL14" s="385">
        <f>(DecarbCalcs2035[[#This Row],[Utility Programs]]-DecarbCalcs2035[[#This Row],[PPAs]])*EFs!$AC15</f>
        <v>0</v>
      </c>
      <c r="AM14" s="386">
        <f>(DecarbCalcs2035[[#This Row],[RECs]]-DecarbCalcs2035[[#This Row],[Utility Programs]])*EFs!$AC15</f>
        <v>0</v>
      </c>
      <c r="AN14" s="385">
        <f>(DecarbCalcs2035[[#This Row],[After Renewable Electricity]]-DecarbCalcs2035[[#This Row],[RECs]])*EFs!$AC15</f>
        <v>0</v>
      </c>
      <c r="AO14" s="386"/>
      <c r="AQ14" s="366" t="s">
        <v>82</v>
      </c>
      <c r="AR14" s="365" t="s">
        <v>72</v>
      </c>
      <c r="AS14" s="386">
        <f>U14*-Assumptions!$G$43</f>
        <v>0</v>
      </c>
      <c r="AT14" s="383">
        <f>(DecarbCalcs2035[[#This Row],[Energy Efficiency]]-DecarbCalcs2035[[#This Row],[Electrification]])/Assumptions!$G$47*Assumptions!$G$49*EFs!Y15*'3. Decarbonization Strategy'!$C$39+(DecarbCalcs2035[[#This Row],[Energy Efficiency]]-DecarbCalcs2035[[#This Row],[Electrification]])/Assumptions!$G$48*Assumptions!$G$51*EFs!Y15*'3. Decarbonization Strategy'!$C$40</f>
        <v>0</v>
      </c>
      <c r="AU14" s="386">
        <f>(DecarbCalcs2035[[#This Row],[Electrification]]-DecarbCalcs2035[[#This Row],[Fuel Switching]])/Assumptions!$G$56*Assumptions!$G$57*EFs!Y15</f>
        <v>0</v>
      </c>
      <c r="AV14" s="385"/>
      <c r="AW14" s="386"/>
      <c r="AX14" s="385"/>
      <c r="AY14" s="386"/>
      <c r="AZ14" s="385"/>
      <c r="BB14" s="366" t="s">
        <v>82</v>
      </c>
      <c r="BC14" s="365" t="s">
        <v>72</v>
      </c>
      <c r="BD14" s="382">
        <f>AG14*-Assumptions!$G$44</f>
        <v>0</v>
      </c>
      <c r="BE14" s="383">
        <f>(DecarbCalcs2035[[#This Row],[Energy Efficiency]]-DecarbCalcs2035[[#This Row],[Electrification]])/Assumptions!$G$47*Assumptions!$G$50*'3. Decarbonization Strategy'!$C$39*EFs!Y15+(DecarbCalcs2035[[#This Row],[Energy Efficiency]]-DecarbCalcs2035[[#This Row],[Electrification]])/Assumptions!$G$48*Assumptions!$G$52*'3. Decarbonization Strategy'!$C$40*EFs!Y15</f>
        <v>0</v>
      </c>
      <c r="BF14" s="386">
        <f>(DecarbCalcs2035[[#This Row],[Electrification]]-DecarbCalcs2035[[#This Row],[Fuel Switching]])/Assumptions!$G$56*Assumptions!$G$58*EFs!Y15</f>
        <v>0</v>
      </c>
      <c r="BG14" s="385"/>
      <c r="BH14" s="386"/>
      <c r="BI14" s="385"/>
      <c r="BJ14" s="386"/>
      <c r="BK14" s="385"/>
    </row>
    <row r="15" spans="1:78" ht="16.5" customHeight="1" x14ac:dyDescent="0.3">
      <c r="A15" t="s">
        <v>83</v>
      </c>
      <c r="B15" s="25" t="s">
        <v>80</v>
      </c>
      <c r="C15" s="286" cm="1">
        <f t="array" ref="C15">(1+'1. Emissions Forecast'!$C$31)^(2035-'1. Emissions Forecast'!$C$10)*('2. Facility Emissions'!E30*INDEX(ConversionTable[Conversion Factor],MATCH(1,(ConversionTable[Source]='2. Facility Emissions'!C30)*(ConversionTable[Original Unit]='2. Facility Emissions'!D30),0))+'2. Facility Emissions'!J30*INDEX(ConversionTable[Conversion Factor],MATCH(1,(ConversionTable[Source]='2. Facility Emissions'!H30)*(ConversionTable[Original Unit]='2. Facility Emissions'!I30),0))+'2. Facility Emissions'!O30*INDEX(ConversionTable[Conversion Factor],MATCH(1,(ConversionTable[Source]='2. Facility Emissions'!M30)*(ConversionTable[Original Unit]='2. Facility Emissions'!N30),0))+'2. Facility Emissions'!T30*INDEX(ConversionTable[Conversion Factor],MATCH(1,(ConversionTable[Source]='2. Facility Emissions'!R30)*(ConversionTable[Original Unit]='2. Facility Emissions'!S30),0))+'2. Facility Emissions'!Y30*INDEX(ConversionTable[Conversion Factor],MATCH(1,(ConversionTable[Source]='2. Facility Emissions'!W30)*(ConversionTable[Original Unit]='2. Facility Emissions'!X30),0))+'2. Facility Emissions'!E53*INDEX(ConversionTable[Conversion Factor],MATCH(1,(ConversionTable[Source]='2. Facility Emissions'!C53)*(ConversionTable[Original Unit]='2. Facility Emissions'!D53),0))+'2. Facility Emissions'!J53*INDEX(ConversionTable[Conversion Factor],MATCH(1,(ConversionTable[Source]='2. Facility Emissions'!H53)*(ConversionTable[Original Unit]='2. Facility Emissions'!I53),0))+'2. Facility Emissions'!O53*INDEX(ConversionTable[Conversion Factor],MATCH(1,(ConversionTable[Source]='2. Facility Emissions'!M53)*(ConversionTable[Original Unit]='2. Facility Emissions'!N53),0))+'2. Facility Emissions'!T53*INDEX(ConversionTable[Conversion Factor],MATCH(1,(ConversionTable[Source]='2. Facility Emissions'!R53)*(ConversionTable[Original Unit]='2. Facility Emissions'!S53),0))+'2. Facility Emissions'!Y53*INDEX(ConversionTable[Conversion Factor],MATCH(1,(ConversionTable[Source]='2. Facility Emissions'!W53)*(ConversionTable[Original Unit]='2. Facility Emissions'!X53),0)))</f>
        <v>0</v>
      </c>
      <c r="D15" s="283">
        <f>DecarbCalcs2035[[#This Row],[Total Values]]*(1-('3. Decarbonization Strategy'!$C$26))</f>
        <v>0</v>
      </c>
      <c r="E15" s="283">
        <f>DecarbCalcs2035[[#This Row],[Energy Efficiency]]*(1-'3. Decarbonization Strategy'!$C$47)</f>
        <v>0</v>
      </c>
      <c r="F15" s="283">
        <f>DecarbCalcs2035[[#This Row],[Electrification]]-DecarbCalcs2035[[#This Row],[Energy Efficiency]]*('3. Decarbonization Strategy'!$C$48)</f>
        <v>0</v>
      </c>
      <c r="G15" s="283">
        <f>DecarbCalcs2035[[#This Row],[Fuel Switching]]</f>
        <v>0</v>
      </c>
      <c r="H15" s="283">
        <f>DecarbCalcs2035[[#This Row],[Onsite]]</f>
        <v>0</v>
      </c>
      <c r="I15" s="283">
        <f>DecarbCalcs2035[[#This Row],[PPAs]]</f>
        <v>0</v>
      </c>
      <c r="J15" s="283">
        <f>DecarbCalcs2035[[#This Row],[Utility Programs]]</f>
        <v>0</v>
      </c>
      <c r="K15" s="283">
        <f>DecarbCalcs2035[[#This Row],[Fuel Switching]]</f>
        <v>0</v>
      </c>
      <c r="L15" s="283"/>
      <c r="N15" s="345" t="s">
        <v>144</v>
      </c>
      <c r="O15" s="341" t="e">
        <f t="shared" si="9"/>
        <v>#DIV/0!</v>
      </c>
      <c r="P15" s="347">
        <f>IF('3. Decarbonization Strategy'!$C$99="No",Transformation!I24-Transformation!J24,Transformation!I25-Transformation!J25)</f>
        <v>0</v>
      </c>
      <c r="S15" s="367" t="s">
        <v>83</v>
      </c>
      <c r="T15" s="363" t="s">
        <v>80</v>
      </c>
      <c r="U15" s="387">
        <f>(DecarbCalcs2035[[#This Row],[Energy Efficiency]]-DecarbCalcs2035[[#This Row],[Total Values]])*EFs!$AB16</f>
        <v>0</v>
      </c>
      <c r="V15" s="383">
        <f>(DecarbCalcs2035[[#This Row],[Electrification]]-DecarbCalcs2035[[#This Row],[Energy Efficiency]])*EFs!$AB16</f>
        <v>0</v>
      </c>
      <c r="W15" s="387">
        <f>(DecarbCalcs2035[[#This Row],[Fuel Switching]]-DecarbCalcs2035[[#This Row],[Electrification]])*EFs!$AB16</f>
        <v>0</v>
      </c>
      <c r="X15" s="383">
        <f>(DecarbCalcs2035[[#This Row],[Onsite]]-DecarbCalcs2035[[#This Row],[Fuel Switching]])*EFs!$AB16</f>
        <v>0</v>
      </c>
      <c r="Y15" s="387">
        <f>(DecarbCalcs2035[[#This Row],[PPAs]]-DecarbCalcs2035[[#This Row],[Onsite]])*EFs!$AB16</f>
        <v>0</v>
      </c>
      <c r="Z15" s="383">
        <f>(DecarbCalcs2035[[#This Row],[Utility Programs]]-DecarbCalcs2035[[#This Row],[PPAs]])*EFs!$AB16</f>
        <v>0</v>
      </c>
      <c r="AA15" s="387">
        <f>(DecarbCalcs2035[[#This Row],[RECs]]-DecarbCalcs2035[[#This Row],[Utility Programs]])*EFs!$AB16</f>
        <v>0</v>
      </c>
      <c r="AB15" s="383">
        <f>(DecarbCalcs2035[[#This Row],[After Renewable Electricity]]-DecarbCalcs2035[[#This Row],[RECs]])*EFs!$AB16</f>
        <v>0</v>
      </c>
      <c r="AC15" s="387"/>
      <c r="AE15" s="367" t="s">
        <v>83</v>
      </c>
      <c r="AF15" s="363" t="s">
        <v>80</v>
      </c>
      <c r="AG15" s="387">
        <f>(DecarbCalcs2035[[#This Row],[Energy Efficiency]]-DecarbCalcs2035[[#This Row],[Total Values]])*EFs!$AC16</f>
        <v>0</v>
      </c>
      <c r="AH15" s="383">
        <f>(DecarbCalcs2035[[#This Row],[Electrification]]-DecarbCalcs2035[[#This Row],[Energy Efficiency]])*EFs!$AC16</f>
        <v>0</v>
      </c>
      <c r="AI15" s="387">
        <f>(DecarbCalcs2035[[#This Row],[Fuel Switching]]-DecarbCalcs2035[[#This Row],[Electrification]])*EFs!$AC16</f>
        <v>0</v>
      </c>
      <c r="AJ15" s="383">
        <f>(DecarbCalcs2035[[#This Row],[Onsite]]-DecarbCalcs2035[[#This Row],[Fuel Switching]])*EFs!$AC16</f>
        <v>0</v>
      </c>
      <c r="AK15" s="387">
        <f>(DecarbCalcs2035[[#This Row],[PPAs]]-DecarbCalcs2035[[#This Row],[Onsite]])*EFs!$AC16</f>
        <v>0</v>
      </c>
      <c r="AL15" s="383">
        <f>(DecarbCalcs2035[[#This Row],[Utility Programs]]-DecarbCalcs2035[[#This Row],[PPAs]])*EFs!$AC16</f>
        <v>0</v>
      </c>
      <c r="AM15" s="387">
        <f>(DecarbCalcs2035[[#This Row],[RECs]]-DecarbCalcs2035[[#This Row],[Utility Programs]])*EFs!$AC16</f>
        <v>0</v>
      </c>
      <c r="AN15" s="383">
        <f>(DecarbCalcs2035[[#This Row],[After Renewable Electricity]]-DecarbCalcs2035[[#This Row],[RECs]])*EFs!$AC16</f>
        <v>0</v>
      </c>
      <c r="AO15" s="387"/>
      <c r="AQ15" s="367" t="s">
        <v>83</v>
      </c>
      <c r="AR15" s="363" t="s">
        <v>80</v>
      </c>
      <c r="AS15" s="387">
        <f>U15*-Assumptions!$G$43</f>
        <v>0</v>
      </c>
      <c r="AT15" s="383">
        <f>(DecarbCalcs2035[[#This Row],[Energy Efficiency]]-DecarbCalcs2035[[#This Row],[Electrification]])/Assumptions!$G$47*Assumptions!$G$49*EFs!Y16*'3. Decarbonization Strategy'!$C$39+(DecarbCalcs2035[[#This Row],[Energy Efficiency]]-DecarbCalcs2035[[#This Row],[Electrification]])/Assumptions!$G$48*Assumptions!$G$51*EFs!Y16*'3. Decarbonization Strategy'!$C$40</f>
        <v>0</v>
      </c>
      <c r="AU15" s="387">
        <f>(DecarbCalcs2035[[#This Row],[Electrification]]-DecarbCalcs2035[[#This Row],[Fuel Switching]])/Assumptions!$G$56*Assumptions!$G$57*EFs!Y16</f>
        <v>0</v>
      </c>
      <c r="AV15" s="383"/>
      <c r="AW15" s="387"/>
      <c r="AX15" s="383"/>
      <c r="AY15" s="387"/>
      <c r="AZ15" s="383"/>
      <c r="BB15" s="367" t="s">
        <v>83</v>
      </c>
      <c r="BC15" s="363" t="s">
        <v>80</v>
      </c>
      <c r="BD15" s="382">
        <f>AG15*-Assumptions!$G$44</f>
        <v>0</v>
      </c>
      <c r="BE15" s="383">
        <f>(DecarbCalcs2035[[#This Row],[Energy Efficiency]]-DecarbCalcs2035[[#This Row],[Electrification]])/Assumptions!$G$47*Assumptions!$G$50*'3. Decarbonization Strategy'!$C$39*EFs!Y16+(DecarbCalcs2035[[#This Row],[Energy Efficiency]]-DecarbCalcs2035[[#This Row],[Electrification]])/Assumptions!$G$48*Assumptions!$G$52*'3. Decarbonization Strategy'!$C$40*EFs!Y16</f>
        <v>0</v>
      </c>
      <c r="BF15" s="387">
        <f>(DecarbCalcs2035[[#This Row],[Electrification]]-DecarbCalcs2035[[#This Row],[Fuel Switching]])/Assumptions!$G$56*Assumptions!$G$58*EFs!Y16</f>
        <v>0</v>
      </c>
      <c r="BG15" s="383"/>
      <c r="BH15" s="387"/>
      <c r="BI15" s="383"/>
      <c r="BJ15" s="387"/>
      <c r="BK15" s="383"/>
      <c r="BO15" s="288" t="s">
        <v>155</v>
      </c>
      <c r="BP15" s="420" t="s">
        <v>161</v>
      </c>
      <c r="BQ15" s="420" t="s">
        <v>162</v>
      </c>
      <c r="BR15" s="432"/>
      <c r="BS15" s="425" t="s">
        <v>163</v>
      </c>
      <c r="BT15" s="425" t="s">
        <v>164</v>
      </c>
      <c r="BU15" s="425" t="s">
        <v>165</v>
      </c>
      <c r="BV15" s="425" t="s">
        <v>166</v>
      </c>
    </row>
    <row r="16" spans="1:78" ht="16.5" customHeight="1" x14ac:dyDescent="0.3">
      <c r="A16" t="s">
        <v>84</v>
      </c>
      <c r="B16" s="25" t="s">
        <v>80</v>
      </c>
      <c r="C16" s="286" cm="1">
        <f t="array" ref="C16">(1+'1. Emissions Forecast'!$C$31)^(2035-'1. Emissions Forecast'!$C$10)*('2. Facility Emissions'!E31*INDEX(ConversionTable[Conversion Factor],MATCH(1,(ConversionTable[Source]='2. Facility Emissions'!C31)*(ConversionTable[Original Unit]='2. Facility Emissions'!D31),0))+'2. Facility Emissions'!J31*INDEX(ConversionTable[Conversion Factor],MATCH(1,(ConversionTable[Source]='2. Facility Emissions'!H31)*(ConversionTable[Original Unit]='2. Facility Emissions'!I31),0))+'2. Facility Emissions'!O31*INDEX(ConversionTable[Conversion Factor],MATCH(1,(ConversionTable[Source]='2. Facility Emissions'!M31)*(ConversionTable[Original Unit]='2. Facility Emissions'!N31),0))+'2. Facility Emissions'!T31*INDEX(ConversionTable[Conversion Factor],MATCH(1,(ConversionTable[Source]='2. Facility Emissions'!R31)*(ConversionTable[Original Unit]='2. Facility Emissions'!S31),0))+'2. Facility Emissions'!Y31*INDEX(ConversionTable[Conversion Factor],MATCH(1,(ConversionTable[Source]='2. Facility Emissions'!W31)*(ConversionTable[Original Unit]='2. Facility Emissions'!X31),0))+'2. Facility Emissions'!E54*INDEX(ConversionTable[Conversion Factor],MATCH(1,(ConversionTable[Source]='2. Facility Emissions'!C54)*(ConversionTable[Original Unit]='2. Facility Emissions'!D54),0))+'2. Facility Emissions'!J54*INDEX(ConversionTable[Conversion Factor],MATCH(1,(ConversionTable[Source]='2. Facility Emissions'!H54)*(ConversionTable[Original Unit]='2. Facility Emissions'!I54),0))+'2. Facility Emissions'!O54*INDEX(ConversionTable[Conversion Factor],MATCH(1,(ConversionTable[Source]='2. Facility Emissions'!M54)*(ConversionTable[Original Unit]='2. Facility Emissions'!N54),0))+'2. Facility Emissions'!T54*INDEX(ConversionTable[Conversion Factor],MATCH(1,(ConversionTable[Source]='2. Facility Emissions'!R54)*(ConversionTable[Original Unit]='2. Facility Emissions'!S54),0))+'2. Facility Emissions'!Y54*INDEX(ConversionTable[Conversion Factor],MATCH(1,(ConversionTable[Source]='2. Facility Emissions'!W54)*(ConversionTable[Original Unit]='2. Facility Emissions'!X54),0)))</f>
        <v>0</v>
      </c>
      <c r="D16" s="283">
        <f>DecarbCalcs2035[[#This Row],[Total Values]]*(1-('3. Decarbonization Strategy'!$C$26))</f>
        <v>0</v>
      </c>
      <c r="E16" s="283">
        <f>DecarbCalcs2035[[#This Row],[Energy Efficiency]]*(1-'3. Decarbonization Strategy'!$C$47)</f>
        <v>0</v>
      </c>
      <c r="F16" s="283">
        <f>DecarbCalcs2035[[#This Row],[Electrification]]-DecarbCalcs2035[[#This Row],[Energy Efficiency]]*('3. Decarbonization Strategy'!$C$48)</f>
        <v>0</v>
      </c>
      <c r="G16" s="283">
        <f>DecarbCalcs2035[[#This Row],[Fuel Switching]]</f>
        <v>0</v>
      </c>
      <c r="H16" s="283">
        <f>DecarbCalcs2035[[#This Row],[Onsite]]</f>
        <v>0</v>
      </c>
      <c r="I16" s="283">
        <f>DecarbCalcs2035[[#This Row],[PPAs]]</f>
        <v>0</v>
      </c>
      <c r="J16" s="283">
        <f>DecarbCalcs2035[[#This Row],[Utility Programs]]</f>
        <v>0</v>
      </c>
      <c r="K16" s="283">
        <f>DecarbCalcs2035[[#This Row],[Fuel Switching]]</f>
        <v>0</v>
      </c>
      <c r="L16" s="283"/>
      <c r="N16" s="345" t="s">
        <v>143</v>
      </c>
      <c r="O16" s="341" t="e">
        <f t="shared" si="9"/>
        <v>#DIV/0!</v>
      </c>
      <c r="P16" s="347">
        <f>IF('3. Decarbonization Strategy'!$C$99="No",Transformation!H24-Transformation!I24,Transformation!H25-Transformation!I25)</f>
        <v>0</v>
      </c>
      <c r="S16" s="366" t="s">
        <v>84</v>
      </c>
      <c r="T16" s="365" t="s">
        <v>80</v>
      </c>
      <c r="U16" s="386">
        <f>(DecarbCalcs2035[[#This Row],[Energy Efficiency]]-DecarbCalcs2035[[#This Row],[Total Values]])*EFs!$AB17</f>
        <v>0</v>
      </c>
      <c r="V16" s="385">
        <f>(DecarbCalcs2035[[#This Row],[Electrification]]-DecarbCalcs2035[[#This Row],[Energy Efficiency]])*EFs!$AB17</f>
        <v>0</v>
      </c>
      <c r="W16" s="386">
        <f>(DecarbCalcs2035[[#This Row],[Fuel Switching]]-DecarbCalcs2035[[#This Row],[Electrification]])*EFs!$AB17</f>
        <v>0</v>
      </c>
      <c r="X16" s="385">
        <f>(DecarbCalcs2035[[#This Row],[Onsite]]-DecarbCalcs2035[[#This Row],[Fuel Switching]])*EFs!$AB17</f>
        <v>0</v>
      </c>
      <c r="Y16" s="386">
        <f>(DecarbCalcs2035[[#This Row],[PPAs]]-DecarbCalcs2035[[#This Row],[Onsite]])*EFs!$AB17</f>
        <v>0</v>
      </c>
      <c r="Z16" s="385">
        <f>(DecarbCalcs2035[[#This Row],[Utility Programs]]-DecarbCalcs2035[[#This Row],[PPAs]])*EFs!$AB17</f>
        <v>0</v>
      </c>
      <c r="AA16" s="386">
        <f>(DecarbCalcs2035[[#This Row],[RECs]]-DecarbCalcs2035[[#This Row],[Utility Programs]])*EFs!$AB17</f>
        <v>0</v>
      </c>
      <c r="AB16" s="385">
        <f>(DecarbCalcs2035[[#This Row],[After Renewable Electricity]]-DecarbCalcs2035[[#This Row],[RECs]])*EFs!$AB17</f>
        <v>0</v>
      </c>
      <c r="AC16" s="386"/>
      <c r="AE16" s="366" t="s">
        <v>84</v>
      </c>
      <c r="AF16" s="365" t="s">
        <v>80</v>
      </c>
      <c r="AG16" s="386">
        <f>(DecarbCalcs2035[[#This Row],[Energy Efficiency]]-DecarbCalcs2035[[#This Row],[Total Values]])*EFs!$AC17</f>
        <v>0</v>
      </c>
      <c r="AH16" s="385">
        <f>(DecarbCalcs2035[[#This Row],[Electrification]]-DecarbCalcs2035[[#This Row],[Energy Efficiency]])*EFs!$AC17</f>
        <v>0</v>
      </c>
      <c r="AI16" s="386">
        <f>(DecarbCalcs2035[[#This Row],[Fuel Switching]]-DecarbCalcs2035[[#This Row],[Electrification]])*EFs!$AC17</f>
        <v>0</v>
      </c>
      <c r="AJ16" s="385">
        <f>(DecarbCalcs2035[[#This Row],[Onsite]]-DecarbCalcs2035[[#This Row],[Fuel Switching]])*EFs!$AC17</f>
        <v>0</v>
      </c>
      <c r="AK16" s="386">
        <f>(DecarbCalcs2035[[#This Row],[PPAs]]-DecarbCalcs2035[[#This Row],[Onsite]])*EFs!$AC17</f>
        <v>0</v>
      </c>
      <c r="AL16" s="385">
        <f>(DecarbCalcs2035[[#This Row],[Utility Programs]]-DecarbCalcs2035[[#This Row],[PPAs]])*EFs!$AC17</f>
        <v>0</v>
      </c>
      <c r="AM16" s="386">
        <f>(DecarbCalcs2035[[#This Row],[RECs]]-DecarbCalcs2035[[#This Row],[Utility Programs]])*EFs!$AC17</f>
        <v>0</v>
      </c>
      <c r="AN16" s="385">
        <f>(DecarbCalcs2035[[#This Row],[After Renewable Electricity]]-DecarbCalcs2035[[#This Row],[RECs]])*EFs!$AC17</f>
        <v>0</v>
      </c>
      <c r="AO16" s="386"/>
      <c r="AQ16" s="366" t="s">
        <v>84</v>
      </c>
      <c r="AR16" s="365" t="s">
        <v>80</v>
      </c>
      <c r="AS16" s="386">
        <f>U16*-Assumptions!$G$43</f>
        <v>0</v>
      </c>
      <c r="AT16" s="383">
        <f>(DecarbCalcs2035[[#This Row],[Energy Efficiency]]-DecarbCalcs2035[[#This Row],[Electrification]])/Assumptions!$G$47*Assumptions!$G$49*EFs!Y17*'3. Decarbonization Strategy'!$C$39+(DecarbCalcs2035[[#This Row],[Energy Efficiency]]-DecarbCalcs2035[[#This Row],[Electrification]])/Assumptions!$G$48*Assumptions!$G$51*EFs!Y17*'3. Decarbonization Strategy'!$C$40</f>
        <v>0</v>
      </c>
      <c r="AU16" s="386">
        <f>(DecarbCalcs2035[[#This Row],[Electrification]]-DecarbCalcs2035[[#This Row],[Fuel Switching]])/Assumptions!$G$56*Assumptions!$G$57*EFs!Y17</f>
        <v>0</v>
      </c>
      <c r="AV16" s="385"/>
      <c r="AW16" s="386"/>
      <c r="AX16" s="385"/>
      <c r="AY16" s="386"/>
      <c r="AZ16" s="385"/>
      <c r="BB16" s="366" t="s">
        <v>84</v>
      </c>
      <c r="BC16" s="365" t="s">
        <v>80</v>
      </c>
      <c r="BD16" s="382">
        <f>AG16*-Assumptions!$G$44</f>
        <v>0</v>
      </c>
      <c r="BE16" s="383">
        <f>(DecarbCalcs2035[[#This Row],[Energy Efficiency]]-DecarbCalcs2035[[#This Row],[Electrification]])/Assumptions!$G$47*Assumptions!$G$50*'3. Decarbonization Strategy'!$C$39*EFs!Y17+(DecarbCalcs2035[[#This Row],[Energy Efficiency]]-DecarbCalcs2035[[#This Row],[Electrification]])/Assumptions!$G$48*Assumptions!$G$52*'3. Decarbonization Strategy'!$C$40*EFs!Y17</f>
        <v>0</v>
      </c>
      <c r="BF16" s="386">
        <f>(DecarbCalcs2035[[#This Row],[Electrification]]-DecarbCalcs2035[[#This Row],[Fuel Switching]])/Assumptions!$G$56*Assumptions!$G$58*EFs!Y17</f>
        <v>0</v>
      </c>
      <c r="BG16" s="385"/>
      <c r="BH16" s="386"/>
      <c r="BI16" s="385"/>
      <c r="BJ16" s="386"/>
      <c r="BK16" s="385"/>
      <c r="BO16" s="288" t="s">
        <v>167</v>
      </c>
      <c r="BP16" s="341">
        <v>-1000000000</v>
      </c>
      <c r="BQ16" s="341">
        <v>0</v>
      </c>
      <c r="BR16" s="432"/>
      <c r="BS16" s="53"/>
      <c r="BT16" s="34">
        <v>0</v>
      </c>
      <c r="BV16">
        <v>10</v>
      </c>
    </row>
    <row r="17" spans="1:80" ht="16.5" customHeight="1" x14ac:dyDescent="0.3">
      <c r="A17" t="s">
        <v>85</v>
      </c>
      <c r="B17" s="25" t="s">
        <v>80</v>
      </c>
      <c r="C17" s="286" cm="1">
        <f t="array" ref="C17">(1+'1. Emissions Forecast'!$C$31)^(2035-'1. Emissions Forecast'!$C$10)*('2. Facility Emissions'!E32*INDEX(ConversionTable[Conversion Factor],MATCH(1,(ConversionTable[Source]='2. Facility Emissions'!C32)*(ConversionTable[Original Unit]='2. Facility Emissions'!D32),0))+'2. Facility Emissions'!J32*INDEX(ConversionTable[Conversion Factor],MATCH(1,(ConversionTable[Source]='2. Facility Emissions'!H32)*(ConversionTable[Original Unit]='2. Facility Emissions'!I32),0))+'2. Facility Emissions'!O32*INDEX(ConversionTable[Conversion Factor],MATCH(1,(ConversionTable[Source]='2. Facility Emissions'!M32)*(ConversionTable[Original Unit]='2. Facility Emissions'!N32),0))+'2. Facility Emissions'!T32*INDEX(ConversionTable[Conversion Factor],MATCH(1,(ConversionTable[Source]='2. Facility Emissions'!R32)*(ConversionTable[Original Unit]='2. Facility Emissions'!S32),0))+'2. Facility Emissions'!Y32*INDEX(ConversionTable[Conversion Factor],MATCH(1,(ConversionTable[Source]='2. Facility Emissions'!W32)*(ConversionTable[Original Unit]='2. Facility Emissions'!X32),0))+'2. Facility Emissions'!E55*INDEX(ConversionTable[Conversion Factor],MATCH(1,(ConversionTable[Source]='2. Facility Emissions'!C55)*(ConversionTable[Original Unit]='2. Facility Emissions'!D55),0))+'2. Facility Emissions'!J55*INDEX(ConversionTable[Conversion Factor],MATCH(1,(ConversionTable[Source]='2. Facility Emissions'!H55)*(ConversionTable[Original Unit]='2. Facility Emissions'!I55),0))+'2. Facility Emissions'!O55*INDEX(ConversionTable[Conversion Factor],MATCH(1,(ConversionTable[Source]='2. Facility Emissions'!M55)*(ConversionTable[Original Unit]='2. Facility Emissions'!N55),0))+'2. Facility Emissions'!T55*INDEX(ConversionTable[Conversion Factor],MATCH(1,(ConversionTable[Source]='2. Facility Emissions'!R55)*(ConversionTable[Original Unit]='2. Facility Emissions'!S55),0))+'2. Facility Emissions'!Y55*INDEX(ConversionTable[Conversion Factor],MATCH(1,(ConversionTable[Source]='2. Facility Emissions'!W55)*(ConversionTable[Original Unit]='2. Facility Emissions'!X55),0)))</f>
        <v>0</v>
      </c>
      <c r="D17" s="283">
        <f>DecarbCalcs2035[[#This Row],[Total Values]]*(1-('3. Decarbonization Strategy'!$C$26))</f>
        <v>0</v>
      </c>
      <c r="E17" s="283">
        <f>DecarbCalcs2035[[#This Row],[Energy Efficiency]]*(1-'3. Decarbonization Strategy'!$C$47)</f>
        <v>0</v>
      </c>
      <c r="F17" s="283">
        <f>DecarbCalcs2035[[#This Row],[Electrification]]-DecarbCalcs2035[[#This Row],[Energy Efficiency]]*('3. Decarbonization Strategy'!$C$48)</f>
        <v>0</v>
      </c>
      <c r="G17" s="283">
        <f>DecarbCalcs2035[[#This Row],[Fuel Switching]]</f>
        <v>0</v>
      </c>
      <c r="H17" s="283">
        <f>DecarbCalcs2035[[#This Row],[Onsite]]</f>
        <v>0</v>
      </c>
      <c r="I17" s="283">
        <f>DecarbCalcs2035[[#This Row],[PPAs]]</f>
        <v>0</v>
      </c>
      <c r="J17" s="283">
        <f>DecarbCalcs2035[[#This Row],[Utility Programs]]</f>
        <v>0</v>
      </c>
      <c r="K17" s="283">
        <f>DecarbCalcs2035[[#This Row],[Fuel Switching]]</f>
        <v>0</v>
      </c>
      <c r="L17" s="283"/>
      <c r="N17" s="345" t="s">
        <v>142</v>
      </c>
      <c r="O17" s="341" t="e">
        <f t="shared" si="9"/>
        <v>#DIV/0!</v>
      </c>
      <c r="P17" s="347">
        <f>IF('3. Decarbonization Strategy'!$C$99="No",Transformation!G24-Transformation!H24,Transformation!G25-Transformation!H25)</f>
        <v>0</v>
      </c>
      <c r="S17" s="367" t="s">
        <v>85</v>
      </c>
      <c r="T17" s="363" t="s">
        <v>80</v>
      </c>
      <c r="U17" s="387">
        <f>(DecarbCalcs2035[[#This Row],[Energy Efficiency]]-DecarbCalcs2035[[#This Row],[Total Values]])*EFs!$AB18</f>
        <v>0</v>
      </c>
      <c r="V17" s="383">
        <f>(DecarbCalcs2035[[#This Row],[Electrification]]-DecarbCalcs2035[[#This Row],[Energy Efficiency]])*EFs!$AB18</f>
        <v>0</v>
      </c>
      <c r="W17" s="387">
        <f>(DecarbCalcs2035[[#This Row],[Fuel Switching]]-DecarbCalcs2035[[#This Row],[Electrification]])*EFs!$AB18</f>
        <v>0</v>
      </c>
      <c r="X17" s="383">
        <f>(DecarbCalcs2035[[#This Row],[Onsite]]-DecarbCalcs2035[[#This Row],[Fuel Switching]])*EFs!$AB18</f>
        <v>0</v>
      </c>
      <c r="Y17" s="387">
        <f>(DecarbCalcs2035[[#This Row],[PPAs]]-DecarbCalcs2035[[#This Row],[Onsite]])*EFs!$AB18</f>
        <v>0</v>
      </c>
      <c r="Z17" s="383">
        <f>(DecarbCalcs2035[[#This Row],[Utility Programs]]-DecarbCalcs2035[[#This Row],[PPAs]])*EFs!$AB18</f>
        <v>0</v>
      </c>
      <c r="AA17" s="387">
        <f>(DecarbCalcs2035[[#This Row],[RECs]]-DecarbCalcs2035[[#This Row],[Utility Programs]])*EFs!$AB18</f>
        <v>0</v>
      </c>
      <c r="AB17" s="383">
        <f>(DecarbCalcs2035[[#This Row],[After Renewable Electricity]]-DecarbCalcs2035[[#This Row],[RECs]])*EFs!$AB18</f>
        <v>0</v>
      </c>
      <c r="AC17" s="387"/>
      <c r="AE17" s="367" t="s">
        <v>85</v>
      </c>
      <c r="AF17" s="363" t="s">
        <v>80</v>
      </c>
      <c r="AG17" s="387">
        <f>(DecarbCalcs2035[[#This Row],[Energy Efficiency]]-DecarbCalcs2035[[#This Row],[Total Values]])*EFs!$AC18</f>
        <v>0</v>
      </c>
      <c r="AH17" s="383">
        <f>(DecarbCalcs2035[[#This Row],[Electrification]]-DecarbCalcs2035[[#This Row],[Energy Efficiency]])*EFs!$AC18</f>
        <v>0</v>
      </c>
      <c r="AI17" s="387">
        <f>(DecarbCalcs2035[[#This Row],[Fuel Switching]]-DecarbCalcs2035[[#This Row],[Electrification]])*EFs!$AC18</f>
        <v>0</v>
      </c>
      <c r="AJ17" s="383">
        <f>(DecarbCalcs2035[[#This Row],[Onsite]]-DecarbCalcs2035[[#This Row],[Fuel Switching]])*EFs!$AC18</f>
        <v>0</v>
      </c>
      <c r="AK17" s="387">
        <f>(DecarbCalcs2035[[#This Row],[PPAs]]-DecarbCalcs2035[[#This Row],[Onsite]])*EFs!$AC18</f>
        <v>0</v>
      </c>
      <c r="AL17" s="383">
        <f>(DecarbCalcs2035[[#This Row],[Utility Programs]]-DecarbCalcs2035[[#This Row],[PPAs]])*EFs!$AC18</f>
        <v>0</v>
      </c>
      <c r="AM17" s="387">
        <f>(DecarbCalcs2035[[#This Row],[RECs]]-DecarbCalcs2035[[#This Row],[Utility Programs]])*EFs!$AC18</f>
        <v>0</v>
      </c>
      <c r="AN17" s="383">
        <f>(DecarbCalcs2035[[#This Row],[After Renewable Electricity]]-DecarbCalcs2035[[#This Row],[RECs]])*EFs!$AC18</f>
        <v>0</v>
      </c>
      <c r="AO17" s="387"/>
      <c r="AQ17" s="367" t="s">
        <v>85</v>
      </c>
      <c r="AR17" s="363" t="s">
        <v>80</v>
      </c>
      <c r="AS17" s="387">
        <f>U17*-Assumptions!$G$43</f>
        <v>0</v>
      </c>
      <c r="AT17" s="383">
        <f>(DecarbCalcs2035[[#This Row],[Energy Efficiency]]-DecarbCalcs2035[[#This Row],[Electrification]])/Assumptions!$G$47*Assumptions!$G$49*EFs!Y18*'3. Decarbonization Strategy'!$C$39+(DecarbCalcs2035[[#This Row],[Energy Efficiency]]-DecarbCalcs2035[[#This Row],[Electrification]])/Assumptions!$G$48*Assumptions!$G$51*EFs!Y18*'3. Decarbonization Strategy'!$C$40</f>
        <v>0</v>
      </c>
      <c r="AU17" s="387">
        <f>(DecarbCalcs2035[[#This Row],[Electrification]]-DecarbCalcs2035[[#This Row],[Fuel Switching]])/Assumptions!$G$56*Assumptions!$G$57*EFs!Y18</f>
        <v>0</v>
      </c>
      <c r="AV17" s="383"/>
      <c r="AW17" s="387"/>
      <c r="AX17" s="383"/>
      <c r="AY17" s="387"/>
      <c r="AZ17" s="383"/>
      <c r="BB17" s="367" t="s">
        <v>85</v>
      </c>
      <c r="BC17" s="363" t="s">
        <v>80</v>
      </c>
      <c r="BD17" s="382">
        <f>AG17*-Assumptions!$G$44</f>
        <v>0</v>
      </c>
      <c r="BE17" s="383">
        <f>(DecarbCalcs2035[[#This Row],[Energy Efficiency]]-DecarbCalcs2035[[#This Row],[Electrification]])/Assumptions!$G$47*Assumptions!$G$50*'3. Decarbonization Strategy'!$C$39*EFs!Y18+(DecarbCalcs2035[[#This Row],[Energy Efficiency]]-DecarbCalcs2035[[#This Row],[Electrification]])/Assumptions!$G$48*Assumptions!$G$52*'3. Decarbonization Strategy'!$C$40*EFs!Y18</f>
        <v>0</v>
      </c>
      <c r="BF17" s="387">
        <f>(DecarbCalcs2035[[#This Row],[Electrification]]-DecarbCalcs2035[[#This Row],[Fuel Switching]])/Assumptions!$G$56*Assumptions!$G$58*EFs!Y18</f>
        <v>0</v>
      </c>
      <c r="BG17" s="383"/>
      <c r="BH17" s="387"/>
      <c r="BI17" s="383"/>
      <c r="BJ17" s="387"/>
      <c r="BK17" s="383"/>
      <c r="BO17" s="288" t="s">
        <v>168</v>
      </c>
      <c r="BP17" s="341">
        <v>1E-8</v>
      </c>
      <c r="BQ17" s="341">
        <v>3</v>
      </c>
      <c r="BR17" s="432"/>
      <c r="BS17" s="53"/>
      <c r="BT17" s="119">
        <v>1</v>
      </c>
      <c r="BU17" s="119"/>
      <c r="BV17">
        <v>10</v>
      </c>
    </row>
    <row r="18" spans="1:80" ht="16.5" customHeight="1" x14ac:dyDescent="0.3">
      <c r="A18" t="s">
        <v>86</v>
      </c>
      <c r="B18" s="25" t="s">
        <v>80</v>
      </c>
      <c r="C18" s="286" cm="1">
        <f t="array" ref="C18">(1+'1. Emissions Forecast'!$C$31)^(2035-'1. Emissions Forecast'!$C$10)*('2. Facility Emissions'!E33*INDEX(ConversionTable[Conversion Factor],MATCH(1,(ConversionTable[Source]='2. Facility Emissions'!C33)*(ConversionTable[Original Unit]='2. Facility Emissions'!D33),0))+'2. Facility Emissions'!J33*INDEX(ConversionTable[Conversion Factor],MATCH(1,(ConversionTable[Source]='2. Facility Emissions'!H33)*(ConversionTable[Original Unit]='2. Facility Emissions'!I33),0))+'2. Facility Emissions'!O33*INDEX(ConversionTable[Conversion Factor],MATCH(1,(ConversionTable[Source]='2. Facility Emissions'!M33)*(ConversionTable[Original Unit]='2. Facility Emissions'!N33),0))+'2. Facility Emissions'!T33*INDEX(ConversionTable[Conversion Factor],MATCH(1,(ConversionTable[Source]='2. Facility Emissions'!R33)*(ConversionTable[Original Unit]='2. Facility Emissions'!S33),0))+'2. Facility Emissions'!Y33*INDEX(ConversionTable[Conversion Factor],MATCH(1,(ConversionTable[Source]='2. Facility Emissions'!W33)*(ConversionTable[Original Unit]='2. Facility Emissions'!X33),0))+'2. Facility Emissions'!E56*INDEX(ConversionTable[Conversion Factor],MATCH(1,(ConversionTable[Source]='2. Facility Emissions'!C56)*(ConversionTable[Original Unit]='2. Facility Emissions'!D56),0))+'2. Facility Emissions'!J56*INDEX(ConversionTable[Conversion Factor],MATCH(1,(ConversionTable[Source]='2. Facility Emissions'!H56)*(ConversionTable[Original Unit]='2. Facility Emissions'!I56),0))+'2. Facility Emissions'!O56*INDEX(ConversionTable[Conversion Factor],MATCH(1,(ConversionTable[Source]='2. Facility Emissions'!M56)*(ConversionTable[Original Unit]='2. Facility Emissions'!N56),0))+'2. Facility Emissions'!T56*INDEX(ConversionTable[Conversion Factor],MATCH(1,(ConversionTable[Source]='2. Facility Emissions'!R56)*(ConversionTable[Original Unit]='2. Facility Emissions'!S56),0))+'2. Facility Emissions'!Y56*INDEX(ConversionTable[Conversion Factor],MATCH(1,(ConversionTable[Source]='2. Facility Emissions'!W56)*(ConversionTable[Original Unit]='2. Facility Emissions'!X56),0)))</f>
        <v>0</v>
      </c>
      <c r="D18" s="283">
        <f>DecarbCalcs2035[[#This Row],[Total Values]]*(1-('3. Decarbonization Strategy'!$C$26))</f>
        <v>0</v>
      </c>
      <c r="E18" s="283">
        <f>DecarbCalcs2035[[#This Row],[Energy Efficiency]]*(1-'3. Decarbonization Strategy'!$C$47)</f>
        <v>0</v>
      </c>
      <c r="F18" s="283">
        <f>DecarbCalcs2035[[#This Row],[Electrification]]-DecarbCalcs2035[[#This Row],[Energy Efficiency]]*('3. Decarbonization Strategy'!$C$48)</f>
        <v>0</v>
      </c>
      <c r="G18" s="283">
        <f>DecarbCalcs2035[[#This Row],[Fuel Switching]]</f>
        <v>0</v>
      </c>
      <c r="H18" s="283">
        <f>DecarbCalcs2035[[#This Row],[Onsite]]</f>
        <v>0</v>
      </c>
      <c r="I18" s="283">
        <f>DecarbCalcs2035[[#This Row],[PPAs]]</f>
        <v>0</v>
      </c>
      <c r="J18" s="283">
        <f>DecarbCalcs2035[[#This Row],[Utility Programs]]</f>
        <v>0</v>
      </c>
      <c r="K18" s="283">
        <f>DecarbCalcs2035[[#This Row],[Fuel Switching]]</f>
        <v>0</v>
      </c>
      <c r="L18" s="283"/>
      <c r="N18" s="345" t="s">
        <v>141</v>
      </c>
      <c r="O18" s="341" t="e">
        <f t="shared" si="9"/>
        <v>#DIV/0!</v>
      </c>
      <c r="P18" s="347">
        <f>IF('3. Decarbonization Strategy'!$C$99="No",Transformation!F24-Transformation!G24,Transformation!F25-Transformation!G25)</f>
        <v>0</v>
      </c>
      <c r="S18" s="366" t="s">
        <v>86</v>
      </c>
      <c r="T18" s="365" t="s">
        <v>80</v>
      </c>
      <c r="U18" s="386">
        <f>(DecarbCalcs2035[[#This Row],[Energy Efficiency]]-DecarbCalcs2035[[#This Row],[Total Values]])*EFs!$AB19</f>
        <v>0</v>
      </c>
      <c r="V18" s="385">
        <f>(DecarbCalcs2035[[#This Row],[Electrification]]-DecarbCalcs2035[[#This Row],[Energy Efficiency]])*EFs!$AB19</f>
        <v>0</v>
      </c>
      <c r="W18" s="386">
        <f>(DecarbCalcs2035[[#This Row],[Fuel Switching]]-DecarbCalcs2035[[#This Row],[Electrification]])*EFs!$AB19</f>
        <v>0</v>
      </c>
      <c r="X18" s="385">
        <f>(DecarbCalcs2035[[#This Row],[Onsite]]-DecarbCalcs2035[[#This Row],[Fuel Switching]])*EFs!$AB19</f>
        <v>0</v>
      </c>
      <c r="Y18" s="386">
        <f>(DecarbCalcs2035[[#This Row],[PPAs]]-DecarbCalcs2035[[#This Row],[Onsite]])*EFs!$AB19</f>
        <v>0</v>
      </c>
      <c r="Z18" s="385">
        <f>(DecarbCalcs2035[[#This Row],[Utility Programs]]-DecarbCalcs2035[[#This Row],[PPAs]])*EFs!$AB19</f>
        <v>0</v>
      </c>
      <c r="AA18" s="386">
        <f>(DecarbCalcs2035[[#This Row],[RECs]]-DecarbCalcs2035[[#This Row],[Utility Programs]])*EFs!$AB19</f>
        <v>0</v>
      </c>
      <c r="AB18" s="385">
        <f>(DecarbCalcs2035[[#This Row],[After Renewable Electricity]]-DecarbCalcs2035[[#This Row],[RECs]])*EFs!$AB19</f>
        <v>0</v>
      </c>
      <c r="AC18" s="386"/>
      <c r="AE18" s="366" t="s">
        <v>86</v>
      </c>
      <c r="AF18" s="365" t="s">
        <v>80</v>
      </c>
      <c r="AG18" s="386">
        <f>(DecarbCalcs2035[[#This Row],[Energy Efficiency]]-DecarbCalcs2035[[#This Row],[Total Values]])*EFs!$AC19</f>
        <v>0</v>
      </c>
      <c r="AH18" s="385">
        <f>(DecarbCalcs2035[[#This Row],[Electrification]]-DecarbCalcs2035[[#This Row],[Energy Efficiency]])*EFs!$AC19</f>
        <v>0</v>
      </c>
      <c r="AI18" s="386">
        <f>(DecarbCalcs2035[[#This Row],[Fuel Switching]]-DecarbCalcs2035[[#This Row],[Electrification]])*EFs!$AC19</f>
        <v>0</v>
      </c>
      <c r="AJ18" s="385">
        <f>(DecarbCalcs2035[[#This Row],[Onsite]]-DecarbCalcs2035[[#This Row],[Fuel Switching]])*EFs!$AC19</f>
        <v>0</v>
      </c>
      <c r="AK18" s="386">
        <f>(DecarbCalcs2035[[#This Row],[PPAs]]-DecarbCalcs2035[[#This Row],[Onsite]])*EFs!$AC19</f>
        <v>0</v>
      </c>
      <c r="AL18" s="385">
        <f>(DecarbCalcs2035[[#This Row],[Utility Programs]]-DecarbCalcs2035[[#This Row],[PPAs]])*EFs!$AC19</f>
        <v>0</v>
      </c>
      <c r="AM18" s="386">
        <f>(DecarbCalcs2035[[#This Row],[RECs]]-DecarbCalcs2035[[#This Row],[Utility Programs]])*EFs!$AC19</f>
        <v>0</v>
      </c>
      <c r="AN18" s="385">
        <f>(DecarbCalcs2035[[#This Row],[After Renewable Electricity]]-DecarbCalcs2035[[#This Row],[RECs]])*EFs!$AC19</f>
        <v>0</v>
      </c>
      <c r="AO18" s="386"/>
      <c r="AQ18" s="366" t="s">
        <v>86</v>
      </c>
      <c r="AR18" s="365" t="s">
        <v>80</v>
      </c>
      <c r="AS18" s="386">
        <f>U18*-Assumptions!$G$43</f>
        <v>0</v>
      </c>
      <c r="AT18" s="383">
        <f>(DecarbCalcs2035[[#This Row],[Energy Efficiency]]-DecarbCalcs2035[[#This Row],[Electrification]])/Assumptions!$G$47*Assumptions!$G$49*EFs!Y19*'3. Decarbonization Strategy'!$C$39+(DecarbCalcs2035[[#This Row],[Energy Efficiency]]-DecarbCalcs2035[[#This Row],[Electrification]])/Assumptions!$G$48*Assumptions!$G$51*EFs!Y19*'3. Decarbonization Strategy'!$C$40</f>
        <v>0</v>
      </c>
      <c r="AU18" s="386">
        <f>(DecarbCalcs2035[[#This Row],[Electrification]]-DecarbCalcs2035[[#This Row],[Fuel Switching]])/Assumptions!$G$56*Assumptions!$G$57*EFs!Y19</f>
        <v>0</v>
      </c>
      <c r="AV18" s="385"/>
      <c r="AW18" s="386"/>
      <c r="AX18" s="385"/>
      <c r="AY18" s="386"/>
      <c r="AZ18" s="385"/>
      <c r="BB18" s="366" t="s">
        <v>86</v>
      </c>
      <c r="BC18" s="365" t="s">
        <v>80</v>
      </c>
      <c r="BD18" s="382">
        <f>AG18*-Assumptions!$G$44</f>
        <v>0</v>
      </c>
      <c r="BE18" s="383">
        <f>(DecarbCalcs2035[[#This Row],[Energy Efficiency]]-DecarbCalcs2035[[#This Row],[Electrification]])/Assumptions!$G$47*Assumptions!$G$50*'3. Decarbonization Strategy'!$C$39*EFs!Y19+(DecarbCalcs2035[[#This Row],[Energy Efficiency]]-DecarbCalcs2035[[#This Row],[Electrification]])/Assumptions!$G$48*Assumptions!$G$52*'3. Decarbonization Strategy'!$C$40*EFs!Y19</f>
        <v>0</v>
      </c>
      <c r="BF18" s="386">
        <f>(DecarbCalcs2035[[#This Row],[Electrification]]-DecarbCalcs2035[[#This Row],[Fuel Switching]])/Assumptions!$G$56*Assumptions!$G$58*EFs!Y19</f>
        <v>0</v>
      </c>
      <c r="BG18" s="385"/>
      <c r="BH18" s="386"/>
      <c r="BI18" s="385"/>
      <c r="BJ18" s="386"/>
      <c r="BK18" s="385"/>
      <c r="BO18" s="288" t="s">
        <v>168</v>
      </c>
      <c r="BP18" s="341">
        <v>3</v>
      </c>
      <c r="BQ18" s="341">
        <v>10</v>
      </c>
      <c r="BR18" s="432"/>
      <c r="BS18" s="53"/>
      <c r="BT18" s="119">
        <v>2</v>
      </c>
      <c r="BU18" s="119"/>
      <c r="BV18">
        <v>1</v>
      </c>
    </row>
    <row r="19" spans="1:80" ht="16.5" customHeight="1" x14ac:dyDescent="0.3">
      <c r="A19" t="s">
        <v>87</v>
      </c>
      <c r="B19" s="25" t="s">
        <v>80</v>
      </c>
      <c r="C19" s="286" cm="1">
        <f t="array" ref="C19">(1+'1. Emissions Forecast'!$C$31)^(2035-'1. Emissions Forecast'!$C$10)*('2. Facility Emissions'!E34*INDEX(ConversionTable[Conversion Factor],MATCH(1,(ConversionTable[Source]='2. Facility Emissions'!C34)*(ConversionTable[Original Unit]='2. Facility Emissions'!D34),0))+'2. Facility Emissions'!J34*INDEX(ConversionTable[Conversion Factor],MATCH(1,(ConversionTable[Source]='2. Facility Emissions'!H34)*(ConversionTable[Original Unit]='2. Facility Emissions'!I34),0))+'2. Facility Emissions'!O34*INDEX(ConversionTable[Conversion Factor],MATCH(1,(ConversionTable[Source]='2. Facility Emissions'!M34)*(ConversionTable[Original Unit]='2. Facility Emissions'!N34),0))+'2. Facility Emissions'!T34*INDEX(ConversionTable[Conversion Factor],MATCH(1,(ConversionTable[Source]='2. Facility Emissions'!R34)*(ConversionTable[Original Unit]='2. Facility Emissions'!S34),0))+'2. Facility Emissions'!Y34*INDEX(ConversionTable[Conversion Factor],MATCH(1,(ConversionTable[Source]='2. Facility Emissions'!W34)*(ConversionTable[Original Unit]='2. Facility Emissions'!X34),0))+'2. Facility Emissions'!E57*INDEX(ConversionTable[Conversion Factor],MATCH(1,(ConversionTable[Source]='2. Facility Emissions'!C57)*(ConversionTable[Original Unit]='2. Facility Emissions'!D57),0))+'2. Facility Emissions'!J57*INDEX(ConversionTable[Conversion Factor],MATCH(1,(ConversionTable[Source]='2. Facility Emissions'!H57)*(ConversionTable[Original Unit]='2. Facility Emissions'!I57),0))+'2. Facility Emissions'!O57*INDEX(ConversionTable[Conversion Factor],MATCH(1,(ConversionTable[Source]='2. Facility Emissions'!M57)*(ConversionTable[Original Unit]='2. Facility Emissions'!N57),0))+'2. Facility Emissions'!T57*INDEX(ConversionTable[Conversion Factor],MATCH(1,(ConversionTable[Source]='2. Facility Emissions'!R57)*(ConversionTable[Original Unit]='2. Facility Emissions'!S57),0))+'2. Facility Emissions'!Y57*INDEX(ConversionTable[Conversion Factor],MATCH(1,(ConversionTable[Source]='2. Facility Emissions'!W57)*(ConversionTable[Original Unit]='2. Facility Emissions'!X57),0)))</f>
        <v>0</v>
      </c>
      <c r="D19" s="283">
        <f>DecarbCalcs2035[[#This Row],[Total Values]]*(1-('3. Decarbonization Strategy'!$C$26))</f>
        <v>0</v>
      </c>
      <c r="E19" s="283">
        <f>DecarbCalcs2035[[#This Row],[Energy Efficiency]]*(1-'3. Decarbonization Strategy'!$C$47)</f>
        <v>0</v>
      </c>
      <c r="F19" s="283">
        <f>DecarbCalcs2035[[#This Row],[Electrification]]-DecarbCalcs2035[[#This Row],[Energy Efficiency]]*('3. Decarbonization Strategy'!$C$48)</f>
        <v>0</v>
      </c>
      <c r="G19" s="283">
        <f>DecarbCalcs2035[[#This Row],[Fuel Switching]]</f>
        <v>0</v>
      </c>
      <c r="H19" s="283">
        <f>DecarbCalcs2035[[#This Row],[Onsite]]</f>
        <v>0</v>
      </c>
      <c r="I19" s="283">
        <f>DecarbCalcs2035[[#This Row],[PPAs]]</f>
        <v>0</v>
      </c>
      <c r="J19" s="283">
        <f>DecarbCalcs2035[[#This Row],[Utility Programs]]</f>
        <v>0</v>
      </c>
      <c r="K19" s="283">
        <f>DecarbCalcs2035[[#This Row],[Fuel Switching]]</f>
        <v>0</v>
      </c>
      <c r="L19" s="283"/>
      <c r="N19" s="345" t="s">
        <v>140</v>
      </c>
      <c r="O19" s="341" t="e">
        <f t="shared" si="9"/>
        <v>#DIV/0!</v>
      </c>
      <c r="P19" s="347">
        <f>IF('3. Decarbonization Strategy'!$C$99="No",Transformation!E24-Transformation!F24,Transformation!E25-Transformation!F25)</f>
        <v>0</v>
      </c>
      <c r="S19" s="367" t="s">
        <v>87</v>
      </c>
      <c r="T19" s="363" t="s">
        <v>80</v>
      </c>
      <c r="U19" s="387">
        <f>(DecarbCalcs2035[[#This Row],[Energy Efficiency]]-DecarbCalcs2035[[#This Row],[Total Values]])*EFs!$AB20</f>
        <v>0</v>
      </c>
      <c r="V19" s="383">
        <f>(DecarbCalcs2035[[#This Row],[Electrification]]-DecarbCalcs2035[[#This Row],[Energy Efficiency]])*EFs!$AB20</f>
        <v>0</v>
      </c>
      <c r="W19" s="387">
        <f>(DecarbCalcs2035[[#This Row],[Fuel Switching]]-DecarbCalcs2035[[#This Row],[Electrification]])*EFs!$AB20</f>
        <v>0</v>
      </c>
      <c r="X19" s="383">
        <f>(DecarbCalcs2035[[#This Row],[Onsite]]-DecarbCalcs2035[[#This Row],[Fuel Switching]])*EFs!$AB20</f>
        <v>0</v>
      </c>
      <c r="Y19" s="387">
        <f>(DecarbCalcs2035[[#This Row],[PPAs]]-DecarbCalcs2035[[#This Row],[Onsite]])*EFs!$AB20</f>
        <v>0</v>
      </c>
      <c r="Z19" s="383">
        <f>(DecarbCalcs2035[[#This Row],[Utility Programs]]-DecarbCalcs2035[[#This Row],[PPAs]])*EFs!$AB20</f>
        <v>0</v>
      </c>
      <c r="AA19" s="387">
        <f>(DecarbCalcs2035[[#This Row],[RECs]]-DecarbCalcs2035[[#This Row],[Utility Programs]])*EFs!$AB20</f>
        <v>0</v>
      </c>
      <c r="AB19" s="383">
        <f>(DecarbCalcs2035[[#This Row],[After Renewable Electricity]]-DecarbCalcs2035[[#This Row],[RECs]])*EFs!$AB20</f>
        <v>0</v>
      </c>
      <c r="AC19" s="387"/>
      <c r="AE19" s="367" t="s">
        <v>87</v>
      </c>
      <c r="AF19" s="363" t="s">
        <v>80</v>
      </c>
      <c r="AG19" s="387">
        <f>(DecarbCalcs2035[[#This Row],[Energy Efficiency]]-DecarbCalcs2035[[#This Row],[Total Values]])*EFs!$AC20</f>
        <v>0</v>
      </c>
      <c r="AH19" s="383">
        <f>(DecarbCalcs2035[[#This Row],[Electrification]]-DecarbCalcs2035[[#This Row],[Energy Efficiency]])*EFs!$AC20</f>
        <v>0</v>
      </c>
      <c r="AI19" s="387">
        <f>(DecarbCalcs2035[[#This Row],[Fuel Switching]]-DecarbCalcs2035[[#This Row],[Electrification]])*EFs!$AC20</f>
        <v>0</v>
      </c>
      <c r="AJ19" s="383">
        <f>(DecarbCalcs2035[[#This Row],[Onsite]]-DecarbCalcs2035[[#This Row],[Fuel Switching]])*EFs!$AC20</f>
        <v>0</v>
      </c>
      <c r="AK19" s="387">
        <f>(DecarbCalcs2035[[#This Row],[PPAs]]-DecarbCalcs2035[[#This Row],[Onsite]])*EFs!$AC20</f>
        <v>0</v>
      </c>
      <c r="AL19" s="383">
        <f>(DecarbCalcs2035[[#This Row],[Utility Programs]]-DecarbCalcs2035[[#This Row],[PPAs]])*EFs!$AC20</f>
        <v>0</v>
      </c>
      <c r="AM19" s="387">
        <f>(DecarbCalcs2035[[#This Row],[RECs]]-DecarbCalcs2035[[#This Row],[Utility Programs]])*EFs!$AC20</f>
        <v>0</v>
      </c>
      <c r="AN19" s="383">
        <f>(DecarbCalcs2035[[#This Row],[After Renewable Electricity]]-DecarbCalcs2035[[#This Row],[RECs]])*EFs!$AC20</f>
        <v>0</v>
      </c>
      <c r="AO19" s="387"/>
      <c r="AQ19" s="367" t="s">
        <v>87</v>
      </c>
      <c r="AR19" s="363" t="s">
        <v>80</v>
      </c>
      <c r="AS19" s="387">
        <f>U19*-Assumptions!$G$43</f>
        <v>0</v>
      </c>
      <c r="AT19" s="383">
        <f>(DecarbCalcs2035[[#This Row],[Energy Efficiency]]-DecarbCalcs2035[[#This Row],[Electrification]])/Assumptions!$G$47*Assumptions!$G$49*EFs!Y20*'3. Decarbonization Strategy'!$C$39+(DecarbCalcs2035[[#This Row],[Energy Efficiency]]-DecarbCalcs2035[[#This Row],[Electrification]])/Assumptions!$G$48*Assumptions!$G$51*EFs!Y20*'3. Decarbonization Strategy'!$C$40</f>
        <v>0</v>
      </c>
      <c r="AU19" s="387">
        <f>(DecarbCalcs2035[[#This Row],[Electrification]]-DecarbCalcs2035[[#This Row],[Fuel Switching]])/Assumptions!$G$56*Assumptions!$G$57*EFs!Y20</f>
        <v>0</v>
      </c>
      <c r="AV19" s="383"/>
      <c r="AW19" s="387"/>
      <c r="AX19" s="383"/>
      <c r="AY19" s="387"/>
      <c r="AZ19" s="383"/>
      <c r="BB19" s="367" t="s">
        <v>87</v>
      </c>
      <c r="BC19" s="363" t="s">
        <v>80</v>
      </c>
      <c r="BD19" s="382">
        <f>AG19*-Assumptions!$G$44</f>
        <v>0</v>
      </c>
      <c r="BE19" s="383">
        <f>(DecarbCalcs2035[[#This Row],[Energy Efficiency]]-DecarbCalcs2035[[#This Row],[Electrification]])/Assumptions!$G$47*Assumptions!$G$50*'3. Decarbonization Strategy'!$C$39*EFs!Y20+(DecarbCalcs2035[[#This Row],[Energy Efficiency]]-DecarbCalcs2035[[#This Row],[Electrification]])/Assumptions!$G$48*Assumptions!$G$52*'3. Decarbonization Strategy'!$C$40*EFs!Y20</f>
        <v>0</v>
      </c>
      <c r="BF19" s="387">
        <f>(DecarbCalcs2035[[#This Row],[Electrification]]-DecarbCalcs2035[[#This Row],[Fuel Switching]])/Assumptions!$G$56*Assumptions!$G$58*EFs!Y20</f>
        <v>0</v>
      </c>
      <c r="BG19" s="383"/>
      <c r="BH19" s="387"/>
      <c r="BI19" s="383"/>
      <c r="BJ19" s="387"/>
      <c r="BK19" s="383"/>
      <c r="BO19" s="288" t="s">
        <v>170</v>
      </c>
      <c r="BP19" s="341">
        <v>10</v>
      </c>
      <c r="BQ19" s="341">
        <v>20</v>
      </c>
      <c r="BR19" s="432"/>
      <c r="BS19" s="53"/>
      <c r="BT19" s="119">
        <v>3</v>
      </c>
      <c r="BU19" s="119" t="s">
        <v>169</v>
      </c>
      <c r="BV19">
        <v>100</v>
      </c>
    </row>
    <row r="20" spans="1:80" ht="16.5" customHeight="1" x14ac:dyDescent="0.3">
      <c r="A20" s="145" t="s">
        <v>88</v>
      </c>
      <c r="B20" s="145" t="s">
        <v>89</v>
      </c>
      <c r="C20" s="286" cm="1">
        <f t="array" ref="C20">(1+'1. Emissions Forecast'!$C$31)^(2035-'1. Emissions Forecast'!$C$10)*('2. Facility Emissions'!E35*INDEX(ConversionTable[Conversion Factor],MATCH(1,(ConversionTable[Source]='2. Facility Emissions'!C35)*(ConversionTable[Original Unit]='2. Facility Emissions'!D35),0))+'2. Facility Emissions'!J35*INDEX(ConversionTable[Conversion Factor],MATCH(1,(ConversionTable[Source]='2. Facility Emissions'!H35)*(ConversionTable[Original Unit]='2. Facility Emissions'!I35),0))+'2. Facility Emissions'!O35*INDEX(ConversionTable[Conversion Factor],MATCH(1,(ConversionTable[Source]='2. Facility Emissions'!M35)*(ConversionTable[Original Unit]='2. Facility Emissions'!N35),0))+'2. Facility Emissions'!T35*INDEX(ConversionTable[Conversion Factor],MATCH(1,(ConversionTable[Source]='2. Facility Emissions'!R35)*(ConversionTable[Original Unit]='2. Facility Emissions'!S35),0))+'2. Facility Emissions'!Y35*INDEX(ConversionTable[Conversion Factor],MATCH(1,(ConversionTable[Source]='2. Facility Emissions'!W35)*(ConversionTable[Original Unit]='2. Facility Emissions'!X35),0))+'2. Facility Emissions'!E58*INDEX(ConversionTable[Conversion Factor],MATCH(1,(ConversionTable[Source]='2. Facility Emissions'!C58)*(ConversionTable[Original Unit]='2. Facility Emissions'!D58),0))+'2. Facility Emissions'!J58*INDEX(ConversionTable[Conversion Factor],MATCH(1,(ConversionTable[Source]='2. Facility Emissions'!H58)*(ConversionTable[Original Unit]='2. Facility Emissions'!I58),0))+'2. Facility Emissions'!O58*INDEX(ConversionTable[Conversion Factor],MATCH(1,(ConversionTable[Source]='2. Facility Emissions'!M58)*(ConversionTable[Original Unit]='2. Facility Emissions'!N58),0))+'2. Facility Emissions'!T58*INDEX(ConversionTable[Conversion Factor],MATCH(1,(ConversionTable[Source]='2. Facility Emissions'!R58)*(ConversionTable[Original Unit]='2. Facility Emissions'!S58),0))+'2. Facility Emissions'!Y58*INDEX(ConversionTable[Conversion Factor],MATCH(1,(ConversionTable[Source]='2. Facility Emissions'!W58)*(ConversionTable[Original Unit]='2. Facility Emissions'!X58),0)))</f>
        <v>0</v>
      </c>
      <c r="D20" s="283">
        <f>DecarbCalcs2035[[#This Row],[Total Values]]*(1-('3. Decarbonization Strategy'!$C$26))</f>
        <v>0</v>
      </c>
      <c r="E20" s="283">
        <f>DecarbCalcs2035[[#This Row],[Energy Efficiency]]</f>
        <v>0</v>
      </c>
      <c r="F20" s="283">
        <f>DecarbCalcs2035[[#This Row],[Electrification]]</f>
        <v>0</v>
      </c>
      <c r="G20" s="283">
        <f>DecarbCalcs2035[[#This Row],[Fuel Switching]]</f>
        <v>0</v>
      </c>
      <c r="H20" s="283">
        <f>DecarbCalcs2035[[#This Row],[Onsite]]</f>
        <v>0</v>
      </c>
      <c r="I20" s="283">
        <f>DecarbCalcs2035[[#This Row],[PPAs]]</f>
        <v>0</v>
      </c>
      <c r="J20" s="283">
        <f>DecarbCalcs2035[[#This Row],[Utility Programs]]</f>
        <v>0</v>
      </c>
      <c r="K20" s="283">
        <f>DecarbCalcs2035[[#This Row],[Fuel Switching]]</f>
        <v>0</v>
      </c>
      <c r="L20" s="283"/>
      <c r="N20" s="345" t="s">
        <v>139</v>
      </c>
      <c r="O20" s="341" t="e">
        <f t="shared" si="9"/>
        <v>#DIV/0!</v>
      </c>
      <c r="P20" s="346">
        <f>IF('3. Decarbonization Strategy'!$C$99="No",Transformation!D24-Transformation!E24,Transformation!D25-Transformation!E25)</f>
        <v>0</v>
      </c>
      <c r="S20" s="368" t="s">
        <v>88</v>
      </c>
      <c r="T20" s="369" t="s">
        <v>89</v>
      </c>
      <c r="U20" s="388">
        <f>(DecarbCalcs2035[[#This Row],[Energy Efficiency]]-DecarbCalcs2035[[#This Row],[Total Values]])*EFs!$AB21</f>
        <v>0</v>
      </c>
      <c r="V20" s="389">
        <f>(DecarbCalcs2035[[#This Row],[Electrification]]-DecarbCalcs2035[[#This Row],[Energy Efficiency]])*EFs!$AB21</f>
        <v>0</v>
      </c>
      <c r="W20" s="388">
        <f>(DecarbCalcs2035[[#This Row],[Fuel Switching]]-DecarbCalcs2035[[#This Row],[Electrification]])*EFs!$AB21</f>
        <v>0</v>
      </c>
      <c r="X20" s="389">
        <f>(DecarbCalcs2035[[#This Row],[Onsite]]-DecarbCalcs2035[[#This Row],[Fuel Switching]])*EFs!$AB21</f>
        <v>0</v>
      </c>
      <c r="Y20" s="388">
        <f>(DecarbCalcs2035[[#This Row],[PPAs]]-DecarbCalcs2035[[#This Row],[Onsite]])*EFs!$AB21</f>
        <v>0</v>
      </c>
      <c r="Z20" s="389">
        <f>(DecarbCalcs2035[[#This Row],[Utility Programs]]-DecarbCalcs2035[[#This Row],[PPAs]])*EFs!$AB21</f>
        <v>0</v>
      </c>
      <c r="AA20" s="388">
        <f>(DecarbCalcs2035[[#This Row],[RECs]]-DecarbCalcs2035[[#This Row],[Utility Programs]])*EFs!$AB21</f>
        <v>0</v>
      </c>
      <c r="AB20" s="389">
        <f>(DecarbCalcs2035[[#This Row],[After Renewable Electricity]]-DecarbCalcs2035[[#This Row],[RECs]])*EFs!$AB21</f>
        <v>0</v>
      </c>
      <c r="AC20" s="388"/>
      <c r="AE20" s="368" t="s">
        <v>88</v>
      </c>
      <c r="AF20" s="369" t="s">
        <v>89</v>
      </c>
      <c r="AG20" s="388">
        <f>(DecarbCalcs2035[[#This Row],[Energy Efficiency]]-DecarbCalcs2035[[#This Row],[Total Values]])*EFs!$AC21</f>
        <v>0</v>
      </c>
      <c r="AH20" s="389">
        <f>(DecarbCalcs2035[[#This Row],[Electrification]]-DecarbCalcs2035[[#This Row],[Energy Efficiency]])*EFs!$AC21</f>
        <v>0</v>
      </c>
      <c r="AI20" s="388">
        <f>(DecarbCalcs2035[[#This Row],[Fuel Switching]]-DecarbCalcs2035[[#This Row],[Electrification]])*EFs!$AC21</f>
        <v>0</v>
      </c>
      <c r="AJ20" s="389">
        <f>(DecarbCalcs2035[[#This Row],[Onsite]]-DecarbCalcs2035[[#This Row],[Fuel Switching]])*EFs!$AC21</f>
        <v>0</v>
      </c>
      <c r="AK20" s="388">
        <f>(DecarbCalcs2035[[#This Row],[PPAs]]-DecarbCalcs2035[[#This Row],[Onsite]])*EFs!$AC21</f>
        <v>0</v>
      </c>
      <c r="AL20" s="389">
        <f>(DecarbCalcs2035[[#This Row],[Utility Programs]]-DecarbCalcs2035[[#This Row],[PPAs]])*EFs!$AC21</f>
        <v>0</v>
      </c>
      <c r="AM20" s="388">
        <f>(DecarbCalcs2035[[#This Row],[RECs]]-DecarbCalcs2035[[#This Row],[Utility Programs]])*EFs!$AC21</f>
        <v>0</v>
      </c>
      <c r="AN20" s="389">
        <f>(DecarbCalcs2035[[#This Row],[After Renewable Electricity]]-DecarbCalcs2035[[#This Row],[RECs]])*EFs!$AC21</f>
        <v>0</v>
      </c>
      <c r="AO20" s="388"/>
      <c r="AQ20" s="368" t="s">
        <v>88</v>
      </c>
      <c r="AR20" s="369" t="s">
        <v>89</v>
      </c>
      <c r="AS20" s="388">
        <f>U20*-Assumptions!$G$43</f>
        <v>0</v>
      </c>
      <c r="AT20" s="389"/>
      <c r="AU20" s="388"/>
      <c r="AV20" s="389"/>
      <c r="AW20" s="388"/>
      <c r="AX20" s="389"/>
      <c r="AY20" s="388"/>
      <c r="AZ20" s="389"/>
      <c r="BB20" s="368" t="s">
        <v>88</v>
      </c>
      <c r="BC20" s="369" t="s">
        <v>89</v>
      </c>
      <c r="BD20" s="382">
        <f>AG20*-Assumptions!$G$44</f>
        <v>0</v>
      </c>
      <c r="BE20" s="389"/>
      <c r="BF20" s="388"/>
      <c r="BG20" s="389"/>
      <c r="BH20" s="388"/>
      <c r="BI20" s="389"/>
      <c r="BJ20" s="388"/>
      <c r="BK20" s="389"/>
      <c r="BO20" s="288" t="s">
        <v>170</v>
      </c>
      <c r="BP20" s="341">
        <v>20</v>
      </c>
      <c r="BQ20" s="341">
        <v>10000000</v>
      </c>
      <c r="BR20" s="432"/>
      <c r="BS20" s="53"/>
      <c r="BT20" s="119">
        <v>4</v>
      </c>
      <c r="BU20" s="119" t="s">
        <v>169</v>
      </c>
      <c r="BV20">
        <v>10</v>
      </c>
    </row>
    <row r="21" spans="1:80" ht="16.5" customHeight="1" x14ac:dyDescent="0.3">
      <c r="A21" s="145" t="s">
        <v>90</v>
      </c>
      <c r="B21" s="145" t="s">
        <v>89</v>
      </c>
      <c r="C21" s="286" cm="1">
        <f t="array" ref="C21">(1+'1. Emissions Forecast'!$C$31)^(2035-'1. Emissions Forecast'!$C$10)*('2. Facility Emissions'!E36*INDEX(ConversionTable[Conversion Factor],MATCH(1,(ConversionTable[Source]='2. Facility Emissions'!C36)*(ConversionTable[Original Unit]='2. Facility Emissions'!D36),0))+'2. Facility Emissions'!J36*INDEX(ConversionTable[Conversion Factor],MATCH(1,(ConversionTable[Source]='2. Facility Emissions'!H36)*(ConversionTable[Original Unit]='2. Facility Emissions'!I36),0))+'2. Facility Emissions'!O36*INDEX(ConversionTable[Conversion Factor],MATCH(1,(ConversionTable[Source]='2. Facility Emissions'!M36)*(ConversionTable[Original Unit]='2. Facility Emissions'!N36),0))+'2. Facility Emissions'!T36*INDEX(ConversionTable[Conversion Factor],MATCH(1,(ConversionTable[Source]='2. Facility Emissions'!R36)*(ConversionTable[Original Unit]='2. Facility Emissions'!S36),0))+'2. Facility Emissions'!Y36*INDEX(ConversionTable[Conversion Factor],MATCH(1,(ConversionTable[Source]='2. Facility Emissions'!W36)*(ConversionTable[Original Unit]='2. Facility Emissions'!X36),0))+'2. Facility Emissions'!E59*INDEX(ConversionTable[Conversion Factor],MATCH(1,(ConversionTable[Source]='2. Facility Emissions'!C59)*(ConversionTable[Original Unit]='2. Facility Emissions'!D59),0))+'2. Facility Emissions'!J59*INDEX(ConversionTable[Conversion Factor],MATCH(1,(ConversionTable[Source]='2. Facility Emissions'!H59)*(ConversionTable[Original Unit]='2. Facility Emissions'!I59),0))+'2. Facility Emissions'!O59*INDEX(ConversionTable[Conversion Factor],MATCH(1,(ConversionTable[Source]='2. Facility Emissions'!M59)*(ConversionTable[Original Unit]='2. Facility Emissions'!N59),0))+'2. Facility Emissions'!T59*INDEX(ConversionTable[Conversion Factor],MATCH(1,(ConversionTable[Source]='2. Facility Emissions'!R59)*(ConversionTable[Original Unit]='2. Facility Emissions'!S59),0))+'2. Facility Emissions'!Y59*INDEX(ConversionTable[Conversion Factor],MATCH(1,(ConversionTable[Source]='2. Facility Emissions'!W59)*(ConversionTable[Original Unit]='2. Facility Emissions'!X59),0)))</f>
        <v>0</v>
      </c>
      <c r="D21" s="283">
        <f>DecarbCalcs2035[[#This Row],[Total Values]]*(1-('3. Decarbonization Strategy'!$C$26))</f>
        <v>0</v>
      </c>
      <c r="E21" s="283">
        <f>DecarbCalcs2035[[#This Row],[Energy Efficiency]]</f>
        <v>0</v>
      </c>
      <c r="F21" s="283">
        <f>DecarbCalcs2035[[#This Row],[Electrification]]</f>
        <v>0</v>
      </c>
      <c r="G21" s="283">
        <f>DecarbCalcs2035[[#This Row],[Fuel Switching]]</f>
        <v>0</v>
      </c>
      <c r="H21" s="283">
        <f>DecarbCalcs2035[[#This Row],[Onsite]]</f>
        <v>0</v>
      </c>
      <c r="I21" s="283">
        <f>DecarbCalcs2035[[#This Row],[PPAs]]</f>
        <v>0</v>
      </c>
      <c r="J21" s="283">
        <f>DecarbCalcs2035[[#This Row],[Utility Programs]]</f>
        <v>0</v>
      </c>
      <c r="K21" s="283">
        <f>DecarbCalcs2035[[#This Row],[Fuel Switching]]</f>
        <v>0</v>
      </c>
      <c r="L21" s="283"/>
      <c r="N21" s="345" t="s">
        <v>138</v>
      </c>
      <c r="O21" s="341" t="e">
        <f t="shared" si="9"/>
        <v>#DIV/0!</v>
      </c>
      <c r="P21" s="346">
        <f>IF('3. Decarbonization Strategy'!$C$99="No",Transformation!C24-Transformation!D24,Transformation!C25-Transformation!D25)</f>
        <v>0</v>
      </c>
      <c r="S21" s="370" t="s">
        <v>90</v>
      </c>
      <c r="T21" s="371" t="s">
        <v>89</v>
      </c>
      <c r="U21" s="390">
        <f>(DecarbCalcs2035[[#This Row],[Energy Efficiency]]-DecarbCalcs2035[[#This Row],[Total Values]])*EFs!$AB22</f>
        <v>0</v>
      </c>
      <c r="V21" s="391">
        <f>(DecarbCalcs2035[[#This Row],[Electrification]]-DecarbCalcs2035[[#This Row],[Energy Efficiency]])*EFs!$AB22</f>
        <v>0</v>
      </c>
      <c r="W21" s="390">
        <f>(DecarbCalcs2035[[#This Row],[Fuel Switching]]-DecarbCalcs2035[[#This Row],[Electrification]])*EFs!$AB22</f>
        <v>0</v>
      </c>
      <c r="X21" s="391">
        <f>(DecarbCalcs2035[[#This Row],[Onsite]]-DecarbCalcs2035[[#This Row],[Fuel Switching]])*EFs!$AB22</f>
        <v>0</v>
      </c>
      <c r="Y21" s="390">
        <f>(DecarbCalcs2035[[#This Row],[PPAs]]-DecarbCalcs2035[[#This Row],[Onsite]])*EFs!$AB22</f>
        <v>0</v>
      </c>
      <c r="Z21" s="391">
        <f>(DecarbCalcs2035[[#This Row],[Utility Programs]]-DecarbCalcs2035[[#This Row],[PPAs]])*EFs!$AB22</f>
        <v>0</v>
      </c>
      <c r="AA21" s="390">
        <f>(DecarbCalcs2035[[#This Row],[RECs]]-DecarbCalcs2035[[#This Row],[Utility Programs]])*EFs!$AB22</f>
        <v>0</v>
      </c>
      <c r="AB21" s="391">
        <f>(DecarbCalcs2035[[#This Row],[After Renewable Electricity]]-DecarbCalcs2035[[#This Row],[RECs]])*EFs!$AB22</f>
        <v>0</v>
      </c>
      <c r="AC21" s="390"/>
      <c r="AE21" s="370" t="s">
        <v>90</v>
      </c>
      <c r="AF21" s="371" t="s">
        <v>89</v>
      </c>
      <c r="AG21" s="390">
        <f>(DecarbCalcs2035[[#This Row],[Energy Efficiency]]-DecarbCalcs2035[[#This Row],[Total Values]])*EFs!$AC22</f>
        <v>0</v>
      </c>
      <c r="AH21" s="391">
        <f>(DecarbCalcs2035[[#This Row],[Electrification]]-DecarbCalcs2035[[#This Row],[Energy Efficiency]])*EFs!$AC22</f>
        <v>0</v>
      </c>
      <c r="AI21" s="390">
        <f>(DecarbCalcs2035[[#This Row],[Fuel Switching]]-DecarbCalcs2035[[#This Row],[Electrification]])*EFs!$AC22</f>
        <v>0</v>
      </c>
      <c r="AJ21" s="391">
        <f>(DecarbCalcs2035[[#This Row],[Onsite]]-DecarbCalcs2035[[#This Row],[Fuel Switching]])*EFs!$AC22</f>
        <v>0</v>
      </c>
      <c r="AK21" s="390">
        <f>(DecarbCalcs2035[[#This Row],[PPAs]]-DecarbCalcs2035[[#This Row],[Onsite]])*EFs!$AC22</f>
        <v>0</v>
      </c>
      <c r="AL21" s="391">
        <f>(DecarbCalcs2035[[#This Row],[Utility Programs]]-DecarbCalcs2035[[#This Row],[PPAs]])*EFs!$AC22</f>
        <v>0</v>
      </c>
      <c r="AM21" s="390">
        <f>(DecarbCalcs2035[[#This Row],[RECs]]-DecarbCalcs2035[[#This Row],[Utility Programs]])*EFs!$AC22</f>
        <v>0</v>
      </c>
      <c r="AN21" s="391">
        <f>(DecarbCalcs2035[[#This Row],[After Renewable Electricity]]-DecarbCalcs2035[[#This Row],[RECs]])*EFs!$AC22</f>
        <v>0</v>
      </c>
      <c r="AO21" s="390"/>
      <c r="AQ21" s="370" t="s">
        <v>90</v>
      </c>
      <c r="AR21" s="371" t="s">
        <v>89</v>
      </c>
      <c r="AS21" s="390">
        <f>U21*-Assumptions!$G$43</f>
        <v>0</v>
      </c>
      <c r="AT21" s="391"/>
      <c r="AU21" s="390"/>
      <c r="AV21" s="391"/>
      <c r="AW21" s="390"/>
      <c r="AX21" s="391"/>
      <c r="AY21" s="390"/>
      <c r="AZ21" s="391"/>
      <c r="BB21" s="370" t="s">
        <v>90</v>
      </c>
      <c r="BC21" s="371" t="s">
        <v>89</v>
      </c>
      <c r="BD21" s="382">
        <f>AG21*-Assumptions!$G$44</f>
        <v>0</v>
      </c>
      <c r="BE21" s="391"/>
      <c r="BF21" s="390"/>
      <c r="BG21" s="391"/>
      <c r="BH21" s="390"/>
      <c r="BI21" s="391"/>
      <c r="BJ21" s="390"/>
      <c r="BK21" s="391"/>
      <c r="BP21" s="432"/>
      <c r="BQ21" s="432"/>
      <c r="BR21" s="432"/>
      <c r="BS21" s="53"/>
      <c r="BT21" s="119">
        <v>5</v>
      </c>
      <c r="BU21" s="119" t="s">
        <v>169</v>
      </c>
      <c r="BV21">
        <v>1</v>
      </c>
      <c r="BW21" s="284"/>
      <c r="BX21" s="284"/>
    </row>
    <row r="22" spans="1:80" ht="16.5" customHeight="1" x14ac:dyDescent="0.3">
      <c r="A22" s="145" t="s">
        <v>91</v>
      </c>
      <c r="B22" s="145" t="s">
        <v>89</v>
      </c>
      <c r="C22" s="286" cm="1">
        <f t="array" ref="C22">(1+'1. Emissions Forecast'!$C$31)^(2035-'1. Emissions Forecast'!$C$10)*('2. Facility Emissions'!E37*INDEX(ConversionTable[Conversion Factor],MATCH(1,(ConversionTable[Source]='2. Facility Emissions'!C37)*(ConversionTable[Original Unit]='2. Facility Emissions'!D37),0))+'2. Facility Emissions'!J37*INDEX(ConversionTable[Conversion Factor],MATCH(1,(ConversionTable[Source]='2. Facility Emissions'!H37)*(ConversionTable[Original Unit]='2. Facility Emissions'!I37),0))+'2. Facility Emissions'!O37*INDEX(ConversionTable[Conversion Factor],MATCH(1,(ConversionTable[Source]='2. Facility Emissions'!M37)*(ConversionTable[Original Unit]='2. Facility Emissions'!N37),0))+'2. Facility Emissions'!T37*INDEX(ConversionTable[Conversion Factor],MATCH(1,(ConversionTable[Source]='2. Facility Emissions'!R37)*(ConversionTable[Original Unit]='2. Facility Emissions'!S37),0))+'2. Facility Emissions'!Y37*INDEX(ConversionTable[Conversion Factor],MATCH(1,(ConversionTable[Source]='2. Facility Emissions'!W37)*(ConversionTable[Original Unit]='2. Facility Emissions'!X37),0))+'2. Facility Emissions'!E60*INDEX(ConversionTable[Conversion Factor],MATCH(1,(ConversionTable[Source]='2. Facility Emissions'!C60)*(ConversionTable[Original Unit]='2. Facility Emissions'!D60),0))+'2. Facility Emissions'!J60*INDEX(ConversionTable[Conversion Factor],MATCH(1,(ConversionTable[Source]='2. Facility Emissions'!H60)*(ConversionTable[Original Unit]='2. Facility Emissions'!I60),0))+'2. Facility Emissions'!O60*INDEX(ConversionTable[Conversion Factor],MATCH(1,(ConversionTable[Source]='2. Facility Emissions'!M60)*(ConversionTable[Original Unit]='2. Facility Emissions'!N60),0))+'2. Facility Emissions'!T60*INDEX(ConversionTable[Conversion Factor],MATCH(1,(ConversionTable[Source]='2. Facility Emissions'!R60)*(ConversionTable[Original Unit]='2. Facility Emissions'!S60),0))+'2. Facility Emissions'!Y60*INDEX(ConversionTable[Conversion Factor],MATCH(1,(ConversionTable[Source]='2. Facility Emissions'!W60)*(ConversionTable[Original Unit]='2. Facility Emissions'!X60),0)))</f>
        <v>0</v>
      </c>
      <c r="D22" s="283">
        <f>DecarbCalcs2035[[#This Row],[Total Values]]*(1-('3. Decarbonization Strategy'!$C$26))</f>
        <v>0</v>
      </c>
      <c r="E22" s="283">
        <f>DecarbCalcs2035[[#This Row],[Energy Efficiency]]</f>
        <v>0</v>
      </c>
      <c r="F22" s="283">
        <f>DecarbCalcs2035[[#This Row],[Electrification]]</f>
        <v>0</v>
      </c>
      <c r="G22" s="283">
        <f>DecarbCalcs2035[[#This Row],[Fuel Switching]]</f>
        <v>0</v>
      </c>
      <c r="H22" s="283">
        <f>DecarbCalcs2035[[#This Row],[Onsite]]</f>
        <v>0</v>
      </c>
      <c r="I22" s="283">
        <f>DecarbCalcs2035[[#This Row],[PPAs]]</f>
        <v>0</v>
      </c>
      <c r="J22" s="283">
        <f>DecarbCalcs2035[[#This Row],[Utility Programs]]</f>
        <v>0</v>
      </c>
      <c r="K22" s="283">
        <f>DecarbCalcs2035[[#This Row],[Fuel Switching]]</f>
        <v>0</v>
      </c>
      <c r="L22" s="283"/>
      <c r="S22" s="368" t="s">
        <v>91</v>
      </c>
      <c r="T22" s="369" t="s">
        <v>89</v>
      </c>
      <c r="U22" s="388">
        <f>(DecarbCalcs2035[[#This Row],[Energy Efficiency]]-DecarbCalcs2035[[#This Row],[Total Values]])*EFs!$AB23</f>
        <v>0</v>
      </c>
      <c r="V22" s="389">
        <f>(DecarbCalcs2035[[#This Row],[Electrification]]-DecarbCalcs2035[[#This Row],[Energy Efficiency]])*EFs!$AB23</f>
        <v>0</v>
      </c>
      <c r="W22" s="388">
        <f>(DecarbCalcs2035[[#This Row],[Fuel Switching]]-DecarbCalcs2035[[#This Row],[Electrification]])*EFs!$AB23</f>
        <v>0</v>
      </c>
      <c r="X22" s="389">
        <f>(DecarbCalcs2035[[#This Row],[Onsite]]-DecarbCalcs2035[[#This Row],[Fuel Switching]])*EFs!$AB23</f>
        <v>0</v>
      </c>
      <c r="Y22" s="388">
        <f>(DecarbCalcs2035[[#This Row],[PPAs]]-DecarbCalcs2035[[#This Row],[Onsite]])*EFs!$AB23</f>
        <v>0</v>
      </c>
      <c r="Z22" s="389">
        <f>(DecarbCalcs2035[[#This Row],[Utility Programs]]-DecarbCalcs2035[[#This Row],[PPAs]])*EFs!$AB23</f>
        <v>0</v>
      </c>
      <c r="AA22" s="388">
        <f>(DecarbCalcs2035[[#This Row],[RECs]]-DecarbCalcs2035[[#This Row],[Utility Programs]])*EFs!$AB23</f>
        <v>0</v>
      </c>
      <c r="AB22" s="389">
        <f>(DecarbCalcs2035[[#This Row],[After Renewable Electricity]]-DecarbCalcs2035[[#This Row],[RECs]])*EFs!$AB23</f>
        <v>0</v>
      </c>
      <c r="AC22" s="388"/>
      <c r="AE22" s="368" t="s">
        <v>91</v>
      </c>
      <c r="AF22" s="369" t="s">
        <v>89</v>
      </c>
      <c r="AG22" s="388">
        <f>(DecarbCalcs2035[[#This Row],[Energy Efficiency]]-DecarbCalcs2035[[#This Row],[Total Values]])*EFs!$AC23</f>
        <v>0</v>
      </c>
      <c r="AH22" s="389">
        <f>(DecarbCalcs2035[[#This Row],[Electrification]]-DecarbCalcs2035[[#This Row],[Energy Efficiency]])*EFs!$AC23</f>
        <v>0</v>
      </c>
      <c r="AI22" s="388">
        <f>(DecarbCalcs2035[[#This Row],[Fuel Switching]]-DecarbCalcs2035[[#This Row],[Electrification]])*EFs!$AC23</f>
        <v>0</v>
      </c>
      <c r="AJ22" s="389">
        <f>(DecarbCalcs2035[[#This Row],[Onsite]]-DecarbCalcs2035[[#This Row],[Fuel Switching]])*EFs!$AC23</f>
        <v>0</v>
      </c>
      <c r="AK22" s="388">
        <f>(DecarbCalcs2035[[#This Row],[PPAs]]-DecarbCalcs2035[[#This Row],[Onsite]])*EFs!$AC23</f>
        <v>0</v>
      </c>
      <c r="AL22" s="389">
        <f>(DecarbCalcs2035[[#This Row],[Utility Programs]]-DecarbCalcs2035[[#This Row],[PPAs]])*EFs!$AC23</f>
        <v>0</v>
      </c>
      <c r="AM22" s="388">
        <f>(DecarbCalcs2035[[#This Row],[RECs]]-DecarbCalcs2035[[#This Row],[Utility Programs]])*EFs!$AC23</f>
        <v>0</v>
      </c>
      <c r="AN22" s="389">
        <f>(DecarbCalcs2035[[#This Row],[After Renewable Electricity]]-DecarbCalcs2035[[#This Row],[RECs]])*EFs!$AC23</f>
        <v>0</v>
      </c>
      <c r="AO22" s="388"/>
      <c r="AQ22" s="368" t="s">
        <v>91</v>
      </c>
      <c r="AR22" s="369" t="s">
        <v>89</v>
      </c>
      <c r="AS22" s="388">
        <f>U22*-Assumptions!$G$43</f>
        <v>0</v>
      </c>
      <c r="AT22" s="389"/>
      <c r="AU22" s="388"/>
      <c r="AV22" s="389"/>
      <c r="AW22" s="388"/>
      <c r="AX22" s="389"/>
      <c r="AY22" s="388"/>
      <c r="AZ22" s="389"/>
      <c r="BB22" s="368" t="s">
        <v>91</v>
      </c>
      <c r="BC22" s="369" t="s">
        <v>89</v>
      </c>
      <c r="BD22" s="382">
        <f>AG22*-Assumptions!$G$44</f>
        <v>0</v>
      </c>
      <c r="BE22" s="389"/>
      <c r="BF22" s="388"/>
      <c r="BG22" s="389"/>
      <c r="BH22" s="388"/>
      <c r="BI22" s="389"/>
      <c r="BJ22" s="388"/>
      <c r="BK22" s="389"/>
      <c r="BP22" s="432"/>
      <c r="BQ22" s="432"/>
      <c r="BR22" s="432"/>
      <c r="BS22" s="53"/>
      <c r="BT22" s="119">
        <v>6</v>
      </c>
      <c r="BU22" s="119" t="s">
        <v>171</v>
      </c>
      <c r="BV22">
        <v>100</v>
      </c>
      <c r="BW22" s="284"/>
    </row>
    <row r="23" spans="1:80" ht="16.5" customHeight="1" x14ac:dyDescent="0.3">
      <c r="A23" s="27" t="s">
        <v>172</v>
      </c>
      <c r="B23" s="25" t="s">
        <v>80</v>
      </c>
      <c r="C23" s="294">
        <v>0</v>
      </c>
      <c r="D23" s="283">
        <f>DecarbCalcs2035[[#This Row],[Total Values]]*(1-('3. Decarbonization Strategy'!$C$26))</f>
        <v>0</v>
      </c>
      <c r="E23" s="283">
        <f>DecarbCalcs2035[[#This Row],[Energy Efficiency]]*(1-'3. Decarbonization Strategy'!$C$47)</f>
        <v>0</v>
      </c>
      <c r="F23" s="283" cm="1">
        <f t="array" ref="F23">SUM((E5:E19-F5:F19)*EFs!$Y$6:$Y$20)</f>
        <v>0</v>
      </c>
      <c r="G23" s="283">
        <f>DecarbCalcs2035[[#This Row],[Fuel Switching]]</f>
        <v>0</v>
      </c>
      <c r="H23" s="283">
        <f>DecarbCalcs2035[[#This Row],[Onsite]]</f>
        <v>0</v>
      </c>
      <c r="I23" s="283">
        <f>DecarbCalcs2035[[#This Row],[PPAs]]</f>
        <v>0</v>
      </c>
      <c r="J23" s="283">
        <f>DecarbCalcs2035[[#This Row],[Utility Programs]]</f>
        <v>0</v>
      </c>
      <c r="K23" s="283">
        <f>DecarbCalcs2035[[#This Row],[Fuel Switching]]</f>
        <v>0</v>
      </c>
      <c r="L23" s="283"/>
      <c r="N23" s="425" t="s">
        <v>483</v>
      </c>
      <c r="O23" s="341"/>
      <c r="P23" s="346">
        <f>C24</f>
        <v>0</v>
      </c>
      <c r="S23" s="362" t="s">
        <v>172</v>
      </c>
      <c r="T23" s="363" t="s">
        <v>80</v>
      </c>
      <c r="U23" s="382">
        <f>(DecarbCalcs2035[[#This Row],[Energy Efficiency]]-DecarbCalcs2035[[#This Row],[Total Values]])*EFs!$AB24</f>
        <v>0</v>
      </c>
      <c r="V23" s="383">
        <f>(DecarbCalcs2035[[#This Row],[Electrification]]-DecarbCalcs2035[[#This Row],[Energy Efficiency]])*EFs!$AB24</f>
        <v>0</v>
      </c>
      <c r="W23" s="382">
        <f>(DecarbCalcs2035[[#This Row],[Fuel Switching]]-DecarbCalcs2035[[#This Row],[Electrification]])*EFs!$AB24</f>
        <v>0</v>
      </c>
      <c r="X23" s="383">
        <f>(DecarbCalcs2035[[#This Row],[Onsite]]-DecarbCalcs2035[[#This Row],[Fuel Switching]])*EFs!$AB24</f>
        <v>0</v>
      </c>
      <c r="Y23" s="382">
        <f>(DecarbCalcs2035[[#This Row],[PPAs]]-DecarbCalcs2035[[#This Row],[Onsite]])*EFs!$AB24</f>
        <v>0</v>
      </c>
      <c r="Z23" s="383">
        <f>(DecarbCalcs2035[[#This Row],[Utility Programs]]-DecarbCalcs2035[[#This Row],[PPAs]])*EFs!$AB24</f>
        <v>0</v>
      </c>
      <c r="AA23" s="382">
        <f>(DecarbCalcs2035[[#This Row],[RECs]]-DecarbCalcs2035[[#This Row],[Utility Programs]])*EFs!$AB24</f>
        <v>0</v>
      </c>
      <c r="AB23" s="383">
        <f>(DecarbCalcs2035[[#This Row],[After Renewable Electricity]]-DecarbCalcs2035[[#This Row],[RECs]])*EFs!$AB24</f>
        <v>0</v>
      </c>
      <c r="AC23" s="382"/>
      <c r="AE23" s="362" t="s">
        <v>172</v>
      </c>
      <c r="AF23" s="363" t="s">
        <v>80</v>
      </c>
      <c r="AG23" s="382">
        <f>(DecarbCalcs2035[[#This Row],[Energy Efficiency]]-DecarbCalcs2035[[#This Row],[Total Values]])*EFs!$AC24</f>
        <v>0</v>
      </c>
      <c r="AH23" s="383">
        <f>(DecarbCalcs2035[[#This Row],[Electrification]]-DecarbCalcs2035[[#This Row],[Energy Efficiency]])*EFs!$AC24</f>
        <v>0</v>
      </c>
      <c r="AI23" s="382">
        <f>(DecarbCalcs2035[[#This Row],[Fuel Switching]]-DecarbCalcs2035[[#This Row],[Electrification]])*EFs!$AC24</f>
        <v>0</v>
      </c>
      <c r="AJ23" s="383">
        <f>(DecarbCalcs2035[[#This Row],[Onsite]]-DecarbCalcs2035[[#This Row],[Fuel Switching]])*EFs!$AC24</f>
        <v>0</v>
      </c>
      <c r="AK23" s="382">
        <f>(DecarbCalcs2035[[#This Row],[PPAs]]-DecarbCalcs2035[[#This Row],[Onsite]])*EFs!$AC24</f>
        <v>0</v>
      </c>
      <c r="AL23" s="383">
        <f>(DecarbCalcs2035[[#This Row],[Utility Programs]]-DecarbCalcs2035[[#This Row],[PPAs]])*EFs!$AC24</f>
        <v>0</v>
      </c>
      <c r="AM23" s="382">
        <f>(DecarbCalcs2035[[#This Row],[RECs]]-DecarbCalcs2035[[#This Row],[Utility Programs]])*EFs!$AC24</f>
        <v>0</v>
      </c>
      <c r="AN23" s="383">
        <f>(DecarbCalcs2035[[#This Row],[After Renewable Electricity]]-DecarbCalcs2035[[#This Row],[RECs]])*EFs!$AC24</f>
        <v>0</v>
      </c>
      <c r="AO23" s="382"/>
      <c r="AQ23" s="362" t="s">
        <v>172</v>
      </c>
      <c r="AR23" s="363" t="s">
        <v>80</v>
      </c>
      <c r="AS23" s="382">
        <f>U23*-Assumptions!$G$43</f>
        <v>0</v>
      </c>
      <c r="AT23" s="383"/>
      <c r="AU23" s="382"/>
      <c r="AV23" s="383"/>
      <c r="AW23" s="382"/>
      <c r="AX23" s="383"/>
      <c r="AY23" s="382"/>
      <c r="AZ23" s="383"/>
      <c r="BB23" s="362" t="s">
        <v>172</v>
      </c>
      <c r="BC23" s="363" t="s">
        <v>80</v>
      </c>
      <c r="BD23" s="382">
        <f>AG23*-Assumptions!$G$44</f>
        <v>0</v>
      </c>
      <c r="BE23" s="383"/>
      <c r="BF23" s="382"/>
      <c r="BG23" s="383"/>
      <c r="BH23" s="382"/>
      <c r="BI23" s="383"/>
      <c r="BJ23" s="382"/>
      <c r="BK23" s="383"/>
      <c r="BP23" s="432"/>
      <c r="BQ23" s="432"/>
      <c r="BR23" s="432"/>
      <c r="BS23" s="53"/>
      <c r="BT23" s="119">
        <v>7</v>
      </c>
      <c r="BU23" s="119" t="s">
        <v>171</v>
      </c>
      <c r="BV23">
        <v>10</v>
      </c>
      <c r="BW23" s="284"/>
      <c r="BX23" s="284"/>
    </row>
    <row r="24" spans="1:80" ht="16.5" customHeight="1" x14ac:dyDescent="0.3">
      <c r="B24" s="51" t="s">
        <v>173</v>
      </c>
      <c r="C24" s="284">
        <f>C4*EFs!$P$10+C5*EFs!$P$12+C6*EFs!$P$9+C7*EFs!$P$7+Transformation!C8*EFs!$P$8+Transformation!C9*EFs!$P$4+Transformation!C10*EFs!$P$5+Transformation!C11*EFs!$P$13+Transformation!C12*EFs!$P$14+Transformation!C13*EFs!$P$15+Transformation!C14*EFs!$P$16+Transformation!C15*EFs!$P$17+Transformation!C16*EFs!$P$18+Transformation!C17*EFs!$P$19+Transformation!C18*EFs!$P$20+Transformation!C19*EFs!$P$21+Transformation!C20+Transformation!C21+Transformation!C22+C23*EFs!$P$25</f>
        <v>0</v>
      </c>
      <c r="D24" s="284">
        <f>D4*EFs!$P$10+D5*EFs!$P$12+D6*EFs!$P$9+D7*EFs!$P$7+Transformation!D8*EFs!$P$8+Transformation!D9*EFs!$P$4+Transformation!D10*EFs!$P$5+Transformation!D11*EFs!$P$13+Transformation!D12*EFs!$P$14+Transformation!D13*EFs!$P$15+Transformation!D14*EFs!$P$16+Transformation!D15*EFs!$P$17+Transformation!D16*EFs!$P$18+Transformation!D17*EFs!$P$19+Transformation!D18*EFs!$P$20+Transformation!D19*EFs!$P$21+Transformation!D20+Transformation!D21+Transformation!D22+D23*EFs!$P$25</f>
        <v>0</v>
      </c>
      <c r="E24" s="284">
        <f>E4*EFs!$P$10+E5*EFs!$P$12+E6*EFs!$P$9+E7*EFs!$P$7+Transformation!E8*EFs!$P$8+Transformation!E9*EFs!$P$4+Transformation!E10*EFs!$P$5+Transformation!E11*EFs!$P$13+Transformation!E12*EFs!$P$14+Transformation!E13*EFs!$P$15+Transformation!E14*EFs!$P$16+Transformation!E15*EFs!$P$17+Transformation!E16*EFs!$P$18+Transformation!E17*EFs!$P$19+Transformation!E18*EFs!$P$20+Transformation!E19*EFs!$P$21+Transformation!E20+Transformation!E21+Transformation!E22+E23*EFs!$P$25</f>
        <v>0</v>
      </c>
      <c r="F24" s="284">
        <f>F4*EFs!$P$10+F5*EFs!$P$12+F6*EFs!$P$9+F7*EFs!$P$7+Transformation!F8*EFs!$P$8+Transformation!F9*EFs!$P$4+Transformation!F10*EFs!$P$5+Transformation!F11*EFs!$P$13+Transformation!F12*EFs!$P$14+Transformation!F13*EFs!$P$15+Transformation!F14*EFs!$P$16+Transformation!F15*EFs!$P$17+Transformation!F16*EFs!$P$18+Transformation!F17*EFs!$P$19+Transformation!F18*EFs!$P$20+Transformation!F19*EFs!$P$21+Transformation!F20+Transformation!F21+Transformation!F22+F23*EFs!$P$25</f>
        <v>0</v>
      </c>
      <c r="G24" s="284">
        <f>G4*EFs!$P$10+G5*EFs!$P$12+G6*EFs!$P$9+G7*EFs!$P$7+Transformation!G8*EFs!$P$8+Transformation!G9*EFs!$P$4+Transformation!G10*EFs!$P$5+Transformation!G11*EFs!$P$13+Transformation!G12*EFs!$P$14+Transformation!G13*EFs!$P$15+Transformation!G14*EFs!$P$16+Transformation!G15*EFs!$P$17+Transformation!G16*EFs!$P$18+Transformation!G17*EFs!$P$19+Transformation!G18*EFs!$P$20+Transformation!G19*EFs!$P$21+Transformation!G20+Transformation!G21+Transformation!G22+G23*EFs!$P$25</f>
        <v>0</v>
      </c>
      <c r="H24" s="284">
        <f>H4*EFs!$P$10+H5*EFs!$P$12+H6*EFs!$P$9+H7*EFs!$P$7+Transformation!H8*EFs!$P$8+Transformation!H9*EFs!$P$4+Transformation!H10*EFs!$P$5+Transformation!H11*EFs!$P$13+Transformation!H12*EFs!$P$14+Transformation!H13*EFs!$P$15+Transformation!H14*EFs!$P$16+Transformation!H15*EFs!$P$17+Transformation!H16*EFs!$P$18+Transformation!H17*EFs!$P$19+Transformation!H18*EFs!$P$20+Transformation!H19*EFs!$P$21+Transformation!H20+Transformation!H21+Transformation!H22+H23*EFs!$P$25</f>
        <v>0</v>
      </c>
      <c r="I24" s="284">
        <f>I4*EFs!$P$10+I5*EFs!$P$12+I6*EFs!$P$9+I7*EFs!$P$7+Transformation!I8*EFs!$P$8+Transformation!I9*EFs!$P$4+Transformation!I10*EFs!$P$5+Transformation!I11*EFs!$P$13+Transformation!I12*EFs!$P$14+Transformation!I13*EFs!$P$15+Transformation!I14*EFs!$P$16+Transformation!I15*EFs!$P$17+Transformation!I16*EFs!$P$18+Transformation!I17*EFs!$P$19+Transformation!I18*EFs!$P$20+Transformation!I19*EFs!$P$21+Transformation!I20+Transformation!I21+Transformation!I22+I23*EFs!$P$25</f>
        <v>0</v>
      </c>
      <c r="J24" s="284">
        <f>J4*EFs!$P$10+J5*EFs!$P$12+J6*EFs!$P$9+J7*EFs!$P$7+Transformation!J8*EFs!$P$8+Transformation!J9*EFs!$P$4+Transformation!J10*EFs!$P$5+Transformation!J11*EFs!$P$13+Transformation!J12*EFs!$P$14+Transformation!J13*EFs!$P$15+Transformation!J14*EFs!$P$16+Transformation!J15*EFs!$P$17+Transformation!J16*EFs!$P$18+Transformation!J17*EFs!$P$19+Transformation!J18*EFs!$P$20+Transformation!J19*EFs!$P$21+Transformation!J20+Transformation!J21+Transformation!J22+J23*EFs!$P$25</f>
        <v>0</v>
      </c>
      <c r="K24" s="284">
        <f>K4*EFs!$P$10+K5*EFs!$P$12+K6*EFs!$P$9+K7*EFs!$P$7+Transformation!K8*EFs!$P$8+Transformation!K9*EFs!$P$4+Transformation!K10*EFs!$P$5+Transformation!K11*EFs!$P$13+Transformation!K12*EFs!$P$14+Transformation!K13*EFs!$P$15+Transformation!K14*EFs!$P$16+Transformation!K15*EFs!$P$17+Transformation!K16*EFs!$P$18+Transformation!K17*EFs!$P$19+Transformation!K18*EFs!$P$20+Transformation!K19*EFs!$P$21+Transformation!K20+Transformation!K21+Transformation!K22+K23*EFs!$P$25</f>
        <v>0</v>
      </c>
      <c r="L24" s="284">
        <f>L4*EFs!$P$10+L5*EFs!$P$12+L6*EFs!$P$9+L7*EFs!$P$7+Transformation!L8*EFs!$P$8+Transformation!L9*EFs!$P$4+Transformation!L10*EFs!$P$5+Transformation!L11*EFs!$P$13+Transformation!L12*EFs!$P$14+Transformation!L13*EFs!$P$15+Transformation!L14*EFs!$P$16+Transformation!L15*EFs!$P$17+Transformation!L16*EFs!$P$18+Transformation!L17*EFs!$P$19+Transformation!L18*EFs!$P$20+Transformation!L19*EFs!$P$21+Transformation!L20+Transformation!L21+Transformation!L22+L23*EFs!$P$25</f>
        <v>0</v>
      </c>
      <c r="N24" s="425" t="s">
        <v>482</v>
      </c>
      <c r="O24" s="341"/>
      <c r="P24" s="589">
        <f>P23/(1+'1. Emissions Forecast'!C31)^(2035-2019)*0.37</f>
        <v>0</v>
      </c>
      <c r="BP24" s="432"/>
      <c r="BQ24" s="432"/>
      <c r="BR24" s="432"/>
      <c r="BS24" s="53"/>
      <c r="BT24" s="119">
        <v>8</v>
      </c>
      <c r="BU24" s="119" t="s">
        <v>171</v>
      </c>
      <c r="BV24">
        <v>1</v>
      </c>
      <c r="BW24" s="284"/>
      <c r="BX24" s="284"/>
    </row>
    <row r="25" spans="1:80" ht="16.5" customHeight="1" x14ac:dyDescent="0.3">
      <c r="B25" s="51" t="s">
        <v>175</v>
      </c>
      <c r="C25" s="284">
        <f>C4*EFs!$P$26+C5*EFs!$P$12+C6*EFs!$P$9+C7*EFs!$P$7+Transformation!C8*EFs!$P$8+Transformation!C9*EFs!$P$4+Transformation!C10*EFs!$P$5+Transformation!C11*EFs!$P$13+Transformation!C12*EFs!$P$14+Transformation!C13*EFs!$P$15+Transformation!C14*EFs!$P$16+Transformation!C15*EFs!$P$17+Transformation!C16*EFs!$P$18+Transformation!C17*EFs!$P$19+Transformation!C18*EFs!$P$20+Transformation!C19*EFs!$P$21+Transformation!C20+Transformation!C21+Transformation!C22+C23*EFs!$P$25</f>
        <v>0</v>
      </c>
      <c r="D25" s="284">
        <f>D4*EFs!$P$26+D5*EFs!$P$12+D6*EFs!$P$9+D7*EFs!$P$7+Transformation!D8*EFs!$P$8+Transformation!D9*EFs!$P$4+Transformation!D10*EFs!$P$5+Transformation!D11*EFs!$P$13+Transformation!D12*EFs!$P$14+Transformation!D13*EFs!$P$15+Transformation!D14*EFs!$P$16+Transformation!D15*EFs!$P$17+Transformation!D16*EFs!$P$18+Transformation!D17*EFs!$P$19+Transformation!D18*EFs!$P$20+Transformation!D19*EFs!$P$21+Transformation!D20+Transformation!D21+Transformation!D22+D23*EFs!$P$25</f>
        <v>0</v>
      </c>
      <c r="E25" s="284">
        <f>E4*EFs!$P$26+E5*EFs!$P$12+E6*EFs!$P$9+E7*EFs!$P$7+Transformation!E8*EFs!$P$8+Transformation!E9*EFs!$P$4+Transformation!E10*EFs!$P$5+Transformation!E11*EFs!$P$13+Transformation!E12*EFs!$P$14+Transformation!E13*EFs!$P$15+Transformation!E14*EFs!$P$16+Transformation!E15*EFs!$P$17+Transformation!E16*EFs!$P$18+Transformation!E17*EFs!$P$19+Transformation!E18*EFs!$P$20+Transformation!E19*EFs!$P$21+Transformation!E20+Transformation!E21+Transformation!E22+E23*EFs!$P$25</f>
        <v>0</v>
      </c>
      <c r="F25" s="284">
        <f>F4*EFs!$P$26+F5*EFs!$P$12+F6*EFs!$P$9+F7*EFs!$P$7+Transformation!F8*EFs!$P$8+Transformation!F9*EFs!$P$4+Transformation!F10*EFs!$P$5+Transformation!F11*EFs!$P$13+Transformation!F12*EFs!$P$14+Transformation!F13*EFs!$P$15+Transformation!F14*EFs!$P$16+Transformation!F15*EFs!$P$17+Transformation!F16*EFs!$P$18+Transformation!F17*EFs!$P$19+Transformation!F18*EFs!$P$20+Transformation!F19*EFs!$P$21+Transformation!F20+Transformation!F21+Transformation!F22+F23*EFs!$P$25</f>
        <v>0</v>
      </c>
      <c r="G25" s="284">
        <f>G4*EFs!$P$26+G5*EFs!$P$12+G6*EFs!$P$9+G7*EFs!$P$7+Transformation!G8*EFs!$P$8+Transformation!G9*EFs!$P$4+Transformation!G10*EFs!$P$5+Transformation!G11*EFs!$P$13+Transformation!G12*EFs!$P$14+Transformation!G13*EFs!$P$15+Transformation!G14*EFs!$P$16+Transformation!G15*EFs!$P$17+Transformation!G16*EFs!$P$18+Transformation!G17*EFs!$P$19+Transformation!G18*EFs!$P$20+Transformation!G19*EFs!$P$21+Transformation!G20+Transformation!G21+Transformation!G22+G23*EFs!$P$25</f>
        <v>0</v>
      </c>
      <c r="H25" s="284">
        <f>H4*EFs!$P$26+H5*EFs!$P$12+H6*EFs!$P$9+H7*EFs!$P$7+Transformation!H8*EFs!$P$8+Transformation!H9*EFs!$P$4+Transformation!H10*EFs!$P$5+Transformation!H11*EFs!$P$13+Transformation!H12*EFs!$P$14+Transformation!H13*EFs!$P$15+Transformation!H14*EFs!$P$16+Transformation!H15*EFs!$P$17+Transformation!H16*EFs!$P$18+Transformation!H17*EFs!$P$19+Transformation!H18*EFs!$P$20+Transformation!H19*EFs!$P$21+Transformation!H20+Transformation!H21+Transformation!H22+H23*EFs!$P$25</f>
        <v>0</v>
      </c>
      <c r="I25" s="284">
        <f>I4*EFs!$P$26+I5*EFs!$P$12+I6*EFs!$P$9+I7*EFs!$P$7+Transformation!I8*EFs!$P$8+Transformation!I9*EFs!$P$4+Transformation!I10*EFs!$P$5+Transformation!I11*EFs!$P$13+Transformation!I12*EFs!$P$14+Transformation!I13*EFs!$P$15+Transformation!I14*EFs!$P$16+Transformation!I15*EFs!$P$17+Transformation!I16*EFs!$P$18+Transformation!I17*EFs!$P$19+Transformation!I18*EFs!$P$20+Transformation!I19*EFs!$P$21+Transformation!I20+Transformation!I21+Transformation!I22+I23*EFs!$P$25</f>
        <v>0</v>
      </c>
      <c r="J25" s="284">
        <f>J4*EFs!$P$26+J5*EFs!$P$12+J6*EFs!$P$9+J7*EFs!$P$7+Transformation!J8*EFs!$P$8+Transformation!J9*EFs!$P$4+Transformation!J10*EFs!$P$5+Transformation!J11*EFs!$P$13+Transformation!J12*EFs!$P$14+Transformation!J13*EFs!$P$15+Transformation!J14*EFs!$P$16+Transformation!J15*EFs!$P$17+Transformation!J16*EFs!$P$18+Transformation!J17*EFs!$P$19+Transformation!J18*EFs!$P$20+Transformation!J19*EFs!$P$21+Transformation!J20+Transformation!J21+Transformation!J22+J23*EFs!$P$25</f>
        <v>0</v>
      </c>
      <c r="K25" s="284">
        <f>K4*EFs!$P$26+K5*EFs!$P$12+K6*EFs!$P$9+K7*EFs!$P$7+Transformation!K8*EFs!$P$8+Transformation!K9*EFs!$P$4+Transformation!K10*EFs!$P$5+Transformation!K11*EFs!$P$13+Transformation!K12*EFs!$P$14+Transformation!K13*EFs!$P$15+Transformation!K14*EFs!$P$16+Transformation!K15*EFs!$P$17+Transformation!K16*EFs!$P$18+Transformation!K17*EFs!$P$19+Transformation!K18*EFs!$P$20+Transformation!K19*EFs!$P$21+Transformation!K20+Transformation!K21+Transformation!K22+K23*EFs!$P$25</f>
        <v>0</v>
      </c>
      <c r="L25" s="284"/>
      <c r="N25" s="590" t="s">
        <v>157</v>
      </c>
      <c r="P25" s="495" t="e">
        <f>P24/P23</f>
        <v>#DIV/0!</v>
      </c>
      <c r="BP25" s="432"/>
      <c r="BQ25" s="432"/>
      <c r="BR25" s="432"/>
      <c r="BS25" s="53"/>
      <c r="BT25" s="119">
        <v>9</v>
      </c>
      <c r="BU25" s="119" t="s">
        <v>174</v>
      </c>
      <c r="BV25">
        <v>100</v>
      </c>
      <c r="BW25" s="284"/>
      <c r="BX25" s="284"/>
    </row>
    <row r="26" spans="1:80" ht="16.5" customHeight="1" x14ac:dyDescent="0.3">
      <c r="I26" s="284"/>
      <c r="J26" s="284"/>
      <c r="BP26" s="432"/>
      <c r="BQ26" s="432"/>
      <c r="BR26" s="432"/>
      <c r="BS26" s="284"/>
      <c r="BT26" s="119">
        <v>10</v>
      </c>
      <c r="BU26" s="119" t="s">
        <v>174</v>
      </c>
      <c r="BV26">
        <v>10</v>
      </c>
      <c r="BW26" s="284"/>
      <c r="BX26" s="284"/>
    </row>
    <row r="27" spans="1:80" ht="16.5" customHeight="1" x14ac:dyDescent="0.3">
      <c r="F27" s="287"/>
      <c r="BP27" s="432"/>
      <c r="BQ27" s="432"/>
      <c r="BR27" s="432"/>
      <c r="BS27" s="284"/>
      <c r="BT27" s="284"/>
      <c r="BV27" s="432"/>
      <c r="BW27" s="284"/>
      <c r="BX27" s="284"/>
    </row>
    <row r="28" spans="1:80" ht="16.5" customHeight="1" x14ac:dyDescent="0.3">
      <c r="A28" s="51">
        <v>2050</v>
      </c>
      <c r="S28" t="s">
        <v>176</v>
      </c>
      <c r="AE28" t="s">
        <v>177</v>
      </c>
      <c r="AQ28" t="s">
        <v>178</v>
      </c>
      <c r="BP28" s="432"/>
      <c r="BQ28" s="432"/>
      <c r="BR28" s="432"/>
      <c r="BS28" s="284"/>
      <c r="BT28" s="284"/>
      <c r="BV28" s="432"/>
      <c r="BW28" s="284"/>
      <c r="BX28" s="284"/>
      <c r="CB28" s="381"/>
    </row>
    <row r="29" spans="1:80" ht="16.5" customHeight="1" x14ac:dyDescent="0.3">
      <c r="A29" s="26" t="s">
        <v>62</v>
      </c>
      <c r="B29" s="26" t="s">
        <v>63</v>
      </c>
      <c r="C29" s="47" t="s">
        <v>64</v>
      </c>
      <c r="D29" s="119" t="s">
        <v>138</v>
      </c>
      <c r="E29" s="119" t="s">
        <v>139</v>
      </c>
      <c r="F29" s="119" t="s">
        <v>140</v>
      </c>
      <c r="G29" s="119" t="s">
        <v>141</v>
      </c>
      <c r="H29" s="119" t="s">
        <v>142</v>
      </c>
      <c r="I29" s="119" t="s">
        <v>143</v>
      </c>
      <c r="J29" s="119" t="s">
        <v>144</v>
      </c>
      <c r="K29" s="119" t="s">
        <v>145</v>
      </c>
      <c r="L29" s="119" t="s">
        <v>146</v>
      </c>
      <c r="S29" s="360" t="s">
        <v>62</v>
      </c>
      <c r="T29" s="361" t="s">
        <v>63</v>
      </c>
      <c r="U29" s="288" t="s">
        <v>138</v>
      </c>
      <c r="V29" s="288" t="s">
        <v>139</v>
      </c>
      <c r="W29" s="288" t="s">
        <v>140</v>
      </c>
      <c r="X29" s="288" t="s">
        <v>141</v>
      </c>
      <c r="Y29" s="288" t="s">
        <v>142</v>
      </c>
      <c r="Z29" s="288" t="s">
        <v>143</v>
      </c>
      <c r="AA29" s="288" t="s">
        <v>144</v>
      </c>
      <c r="AB29" s="288" t="s">
        <v>145</v>
      </c>
      <c r="AC29" s="372" t="s">
        <v>146</v>
      </c>
      <c r="AE29" s="360" t="s">
        <v>62</v>
      </c>
      <c r="AF29" s="361" t="s">
        <v>63</v>
      </c>
      <c r="AG29" s="288" t="s">
        <v>138</v>
      </c>
      <c r="AH29" s="288" t="s">
        <v>139</v>
      </c>
      <c r="AI29" s="288" t="s">
        <v>140</v>
      </c>
      <c r="AJ29" s="288" t="s">
        <v>141</v>
      </c>
      <c r="AK29" s="288" t="s">
        <v>142</v>
      </c>
      <c r="AL29" s="288" t="s">
        <v>143</v>
      </c>
      <c r="AM29" s="288" t="s">
        <v>144</v>
      </c>
      <c r="AN29" s="288" t="s">
        <v>145</v>
      </c>
      <c r="AO29" s="372" t="s">
        <v>146</v>
      </c>
      <c r="AQ29" s="360" t="s">
        <v>62</v>
      </c>
      <c r="AR29" s="361" t="s">
        <v>63</v>
      </c>
      <c r="AS29" s="288" t="s">
        <v>138</v>
      </c>
      <c r="AT29" s="288" t="s">
        <v>139</v>
      </c>
      <c r="AU29" s="288" t="s">
        <v>140</v>
      </c>
      <c r="AV29" s="288" t="s">
        <v>141</v>
      </c>
      <c r="AW29" s="288" t="s">
        <v>142</v>
      </c>
      <c r="AX29" s="288" t="s">
        <v>143</v>
      </c>
      <c r="AY29" s="288" t="s">
        <v>144</v>
      </c>
      <c r="AZ29" s="288" t="s">
        <v>145</v>
      </c>
      <c r="BB29" s="360" t="s">
        <v>62</v>
      </c>
      <c r="BC29" s="361" t="s">
        <v>63</v>
      </c>
      <c r="BD29" s="288" t="s">
        <v>138</v>
      </c>
      <c r="BE29" s="288" t="s">
        <v>139</v>
      </c>
      <c r="BF29" s="288" t="s">
        <v>140</v>
      </c>
      <c r="BG29" s="288" t="s">
        <v>141</v>
      </c>
      <c r="BH29" s="288" t="s">
        <v>142</v>
      </c>
      <c r="BI29" s="288" t="s">
        <v>143</v>
      </c>
      <c r="BJ29" s="288" t="s">
        <v>144</v>
      </c>
      <c r="BK29" s="288" t="s">
        <v>145</v>
      </c>
      <c r="BP29" s="432"/>
      <c r="BQ29" s="432"/>
      <c r="BR29" s="432"/>
      <c r="BS29" s="284"/>
      <c r="BT29" s="284"/>
      <c r="BV29" s="432"/>
      <c r="BW29" s="284"/>
      <c r="BX29" s="284"/>
    </row>
    <row r="30" spans="1:80" ht="16.5" customHeight="1" x14ac:dyDescent="0.3">
      <c r="A30" s="27" t="s">
        <v>65</v>
      </c>
      <c r="B30" s="25" t="s">
        <v>68</v>
      </c>
      <c r="C30" s="289" cm="1">
        <f t="array" ref="C30">(1+'1. Emissions Forecast'!$C$31)^(2050-'1. Emissions Forecast'!$C$10)*('2. Facility Emissions'!E18*INDEX(ConversionTable[Conversion Factor],MATCH(1,(ConversionTable[Source]='2. Facility Emissions'!C18)*(ConversionTable[Original Unit]='2. Facility Emissions'!D18),0))+'2. Facility Emissions'!J18*INDEX(ConversionTable[Conversion Factor],MATCH(1,(ConversionTable[Source]='2. Facility Emissions'!H18)*(ConversionTable[Original Unit]='2. Facility Emissions'!I18),0))+'2. Facility Emissions'!O18*INDEX(ConversionTable[Conversion Factor],MATCH(1,(ConversionTable[Source]='2. Facility Emissions'!M18)*(ConversionTable[Original Unit]='2. Facility Emissions'!N18),0))+'2. Facility Emissions'!T18*INDEX(ConversionTable[Conversion Factor],MATCH(1,(ConversionTable[Source]='2. Facility Emissions'!R18)*(ConversionTable[Original Unit]='2. Facility Emissions'!S18),0))+'2. Facility Emissions'!Y18*INDEX(ConversionTable[Conversion Factor],MATCH(1,(ConversionTable[Source]='2. Facility Emissions'!W18)*(ConversionTable[Original Unit]='2. Facility Emissions'!X18),0))+'2. Facility Emissions'!E41*INDEX(ConversionTable[Conversion Factor],MATCH(1,(ConversionTable[Source]='2. Facility Emissions'!C41)*(ConversionTable[Original Unit]='2. Facility Emissions'!D41),0))+'2. Facility Emissions'!J41*INDEX(ConversionTable[Conversion Factor],MATCH(1,(ConversionTable[Source]='2. Facility Emissions'!H41)*(ConversionTable[Original Unit]='2. Facility Emissions'!I41),0))+'2. Facility Emissions'!O41*INDEX(ConversionTable[Conversion Factor],MATCH(1,(ConversionTable[Source]='2. Facility Emissions'!M41)*(ConversionTable[Original Unit]='2. Facility Emissions'!N41),0))+'2. Facility Emissions'!T41*INDEX(ConversionTable[Conversion Factor],MATCH(1,(ConversionTable[Source]='2. Facility Emissions'!R41)*(ConversionTable[Original Unit]='2. Facility Emissions'!S41),0))+'2. Facility Emissions'!Y41*INDEX(ConversionTable[Conversion Factor],MATCH(1,(ConversionTable[Source]='2. Facility Emissions'!W41)*(ConversionTable[Original Unit]='2. Facility Emissions'!X41),0)))</f>
        <v>0</v>
      </c>
      <c r="D30" s="283">
        <f>DecarbCalcs2050[[#This Row],[Total Values]]*(1-('3. Decarbonization Strategy'!$D$26))</f>
        <v>0</v>
      </c>
      <c r="E30" s="283">
        <f>DecarbCalcs2050[[#This Row],[Energy Efficiency]]</f>
        <v>0</v>
      </c>
      <c r="F30" s="283">
        <f>DecarbCalcs2050[[#This Row],[Electrification]]</f>
        <v>0</v>
      </c>
      <c r="G30" s="283">
        <f>E31*'3. Decarbonization Strategy'!$D$75</f>
        <v>0</v>
      </c>
      <c r="H30" s="283">
        <f>E31*'3. Decarbonization Strategy'!$D$83</f>
        <v>0</v>
      </c>
      <c r="I30" s="283">
        <f>E31*'3. Decarbonization Strategy'!$D$84</f>
        <v>0</v>
      </c>
      <c r="J30" s="283">
        <f>E31*'3. Decarbonization Strategy'!$D$85</f>
        <v>0</v>
      </c>
      <c r="K30" s="283">
        <f>SUM(DecarbCalcs2050[[#This Row],[Fuel Switching]:[RECs]])</f>
        <v>0</v>
      </c>
      <c r="L30" s="283"/>
      <c r="S30" s="362" t="s">
        <v>65</v>
      </c>
      <c r="T30" s="363" t="s">
        <v>68</v>
      </c>
      <c r="U30" s="382">
        <f>(DecarbCalcs2050[[#This Row],[Energy Efficiency]]-DecarbCalcs2050[[#This Row],[Total Values]])*EFs!$AB4</f>
        <v>0</v>
      </c>
      <c r="V30" s="383">
        <f>(DecarbCalcs2050[[#This Row],[Electrification]]-DecarbCalcs2050[[#This Row],[Energy Efficiency]])*EFs!$AB4</f>
        <v>0</v>
      </c>
      <c r="W30" s="382">
        <f>(DecarbCalcs2050[[#This Row],[Fuel Switching]]-DecarbCalcs2050[[#This Row],[Electrification]])*EFs!$AB4</f>
        <v>0</v>
      </c>
      <c r="X30" s="403">
        <v>0</v>
      </c>
      <c r="Y30" s="404">
        <f>(DecarbCalcs2050[[#This Row],[PPAs]])*Assumptions!G75</f>
        <v>0</v>
      </c>
      <c r="Z30" s="403">
        <f>(DecarbCalcs2050[[#This Row],[Utility Programs]])*Assumptions!G79</f>
        <v>0</v>
      </c>
      <c r="AA30" s="404">
        <f>(DecarbCalcs2050[[#This Row],[RECs]])*Assumptions!G83</f>
        <v>0</v>
      </c>
      <c r="AB30" s="383">
        <f>(DecarbCalcs2050[[#This Row],[After Renewable Electricity]]-DecarbCalcs2050[[#This Row],[RECs]])*EFs!$AB4</f>
        <v>0</v>
      </c>
      <c r="AC30" s="382"/>
      <c r="AE30" s="362" t="s">
        <v>65</v>
      </c>
      <c r="AF30" s="363" t="s">
        <v>68</v>
      </c>
      <c r="AG30" s="382">
        <f>(DecarbCalcs2050[[#This Row],[Energy Efficiency]]-DecarbCalcs2050[[#This Row],[Total Values]])*EFs!$AC4</f>
        <v>0</v>
      </c>
      <c r="AH30" s="383">
        <f>(DecarbCalcs2050[[#This Row],[Electrification]]-DecarbCalcs2050[[#This Row],[Energy Efficiency]])*EFs!$AC4</f>
        <v>0</v>
      </c>
      <c r="AI30" s="382">
        <f>(DecarbCalcs2050[[#This Row],[Fuel Switching]]-DecarbCalcs2050[[#This Row],[Electrification]])*EFs!$AC4</f>
        <v>0</v>
      </c>
      <c r="AJ30" s="393">
        <v>0</v>
      </c>
      <c r="AK30" s="394">
        <f>(DecarbCalcs2050[[#This Row],[PPAs]])*Assumptions!G76</f>
        <v>0</v>
      </c>
      <c r="AL30" s="393">
        <f>(DecarbCalcs2050[[#This Row],[Utility Programs]])*Assumptions!G80</f>
        <v>0</v>
      </c>
      <c r="AM30" s="394">
        <f>(DecarbCalcs2050[[#This Row],[RECs]])*Assumptions!G84</f>
        <v>0</v>
      </c>
      <c r="AN30" s="383">
        <f>(DecarbCalcs2050[[#This Row],[After Renewable Electricity]]-DecarbCalcs2050[[#This Row],[RECs]])*EFs!$AC4</f>
        <v>0</v>
      </c>
      <c r="AO30" s="382"/>
      <c r="AQ30" s="362" t="s">
        <v>65</v>
      </c>
      <c r="AR30" s="363" t="s">
        <v>68</v>
      </c>
      <c r="AS30" s="382">
        <f>U30*-Assumptions!$G$43</f>
        <v>0</v>
      </c>
      <c r="AT30" s="383"/>
      <c r="AU30" s="382"/>
      <c r="AV30" s="393">
        <f>(DecarbCalcs2050[[#This Row],[Onsite]]-DecarbCalcs2050[[#This Row],[Fuel Switching]])*1000/Assumptions!G61*Assumptions!G62*1000</f>
        <v>0</v>
      </c>
      <c r="AW30" s="394"/>
      <c r="AX30" s="393"/>
      <c r="AY30" s="394"/>
      <c r="AZ30" s="383"/>
      <c r="BB30" s="362" t="s">
        <v>65</v>
      </c>
      <c r="BC30" s="363" t="s">
        <v>68</v>
      </c>
      <c r="BD30" s="382">
        <f>U30*-Assumptions!$G$44</f>
        <v>0</v>
      </c>
      <c r="BE30" s="383"/>
      <c r="BF30" s="382"/>
      <c r="BG30" s="393">
        <f>(DecarbCalcs2050[[#This Row],[Onsite]]-DecarbCalcs2050[[#This Row],[Fuel Switching]])*1000/Assumptions!$G$61*Assumptions!$G$63*1000</f>
        <v>0</v>
      </c>
      <c r="BH30" s="394"/>
      <c r="BI30" s="393"/>
      <c r="BJ30" s="394"/>
      <c r="BK30" s="383"/>
      <c r="BP30" s="432"/>
      <c r="BQ30" s="432"/>
      <c r="BR30" s="432"/>
      <c r="BS30" s="284"/>
      <c r="BT30" s="284"/>
      <c r="BV30" s="432"/>
      <c r="BW30" s="284"/>
      <c r="BX30" s="284"/>
    </row>
    <row r="31" spans="1:80" ht="16.5" customHeight="1" x14ac:dyDescent="0.3">
      <c r="A31" s="27" t="s">
        <v>67</v>
      </c>
      <c r="B31" s="25" t="s">
        <v>68</v>
      </c>
      <c r="C31" s="289" cm="1">
        <f t="array" ref="C31">(1+'1. Emissions Forecast'!$C$31)^(2050-'1. Emissions Forecast'!$C$10)*('2. Facility Emissions'!E19*INDEX(ConversionTable[Conversion Factor],MATCH(1,(ConversionTable[Source]='2. Facility Emissions'!C19)*(ConversionTable[Original Unit]='2. Facility Emissions'!D19),0))+'2. Facility Emissions'!J19*INDEX(ConversionTable[Conversion Factor],MATCH(1,(ConversionTable[Source]='2. Facility Emissions'!H19)*(ConversionTable[Original Unit]='2. Facility Emissions'!I19),0))+'2. Facility Emissions'!O19*INDEX(ConversionTable[Conversion Factor],MATCH(1,(ConversionTable[Source]='2. Facility Emissions'!M19)*(ConversionTable[Original Unit]='2. Facility Emissions'!N19),0))+'2. Facility Emissions'!T19*INDEX(ConversionTable[Conversion Factor],MATCH(1,(ConversionTable[Source]='2. Facility Emissions'!R19)*(ConversionTable[Original Unit]='2. Facility Emissions'!S19),0))+'2. Facility Emissions'!Y19*INDEX(ConversionTable[Conversion Factor],MATCH(1,(ConversionTable[Source]='2. Facility Emissions'!W19)*(ConversionTable[Original Unit]='2. Facility Emissions'!X19),0))+'2. Facility Emissions'!E42*INDEX(ConversionTable[Conversion Factor],MATCH(1,(ConversionTable[Source]='2. Facility Emissions'!C42)*(ConversionTable[Original Unit]='2. Facility Emissions'!D42),0))+'2. Facility Emissions'!J42*INDEX(ConversionTable[Conversion Factor],MATCH(1,(ConversionTable[Source]='2. Facility Emissions'!H42)*(ConversionTable[Original Unit]='2. Facility Emissions'!I42),0))+'2. Facility Emissions'!O42*INDEX(ConversionTable[Conversion Factor],MATCH(1,(ConversionTable[Source]='2. Facility Emissions'!M42)*(ConversionTable[Original Unit]='2. Facility Emissions'!N42),0))+'2. Facility Emissions'!T42*INDEX(ConversionTable[Conversion Factor],MATCH(1,(ConversionTable[Source]='2. Facility Emissions'!R42)*(ConversionTable[Original Unit]='2. Facility Emissions'!S42),0))+'2. Facility Emissions'!Y42*INDEX(ConversionTable[Conversion Factor],MATCH(1,(ConversionTable[Source]='2. Facility Emissions'!W42)*(ConversionTable[Original Unit]='2. Facility Emissions'!X42),0)))</f>
        <v>0</v>
      </c>
      <c r="D31" s="283">
        <f>DecarbCalcs2050[[#This Row],[Total Values]]*(1-('3. Decarbonization Strategy'!$D$26))</f>
        <v>0</v>
      </c>
      <c r="E31" s="283" cm="1">
        <f t="array" ref="E31">(SUM((D32:D46-E32:E46)*EFs!$X$6:$X$20*EFs!$AF$6:$AF$20)/1000)*'3. Decarbonization Strategy'!$C$40+(SUM((D32:D46-E32:E46)*EFs!$X$6:$X$20*EFs!$AF$6:$AF$20)/1000)*'3. Decarbonization Strategy'!$C$39*Assumptions!$G$34+DecarbCalcs2050[[#This Row],[Energy Efficiency]]</f>
        <v>0</v>
      </c>
      <c r="F31" s="283">
        <f>DecarbCalcs2050[[#This Row],[Electrification]]</f>
        <v>0</v>
      </c>
      <c r="G31" s="283">
        <f>DecarbCalcs2050[[#This Row],[Fuel Switching]]-G30</f>
        <v>0</v>
      </c>
      <c r="H31" s="283">
        <f>DecarbCalcs2050[[#This Row],[Onsite]]-H30</f>
        <v>0</v>
      </c>
      <c r="I31" s="283">
        <f>DecarbCalcs2050[[#This Row],[PPAs]]-I30</f>
        <v>0</v>
      </c>
      <c r="J31" s="283">
        <f>DecarbCalcs2050[[#This Row],[Utility Programs]]-J30</f>
        <v>0</v>
      </c>
      <c r="K31" s="283">
        <f>DecarbCalcs2050[[#This Row],[Fuel Switching]]-SUM(G30:J30)</f>
        <v>0</v>
      </c>
      <c r="L31" s="283">
        <f>DecarbCalcs2050[[#This Row],[Energy Efficiency]]</f>
        <v>0</v>
      </c>
      <c r="S31" s="364" t="s">
        <v>67</v>
      </c>
      <c r="T31" s="365" t="s">
        <v>68</v>
      </c>
      <c r="U31" s="384">
        <f>(DecarbCalcs2050[[#This Row],[Energy Efficiency]]-DecarbCalcs2050[[#This Row],[Total Values]])*EFs!$AB5</f>
        <v>0</v>
      </c>
      <c r="V31" s="385">
        <f>(DecarbCalcs2050[[#This Row],[Electrification]]-DecarbCalcs2050[[#This Row],[Energy Efficiency]])*EFs!$AB5</f>
        <v>0</v>
      </c>
      <c r="W31" s="384">
        <f>(DecarbCalcs2050[[#This Row],[Fuel Switching]]-DecarbCalcs2050[[#This Row],[Electrification]])*EFs!$AB5</f>
        <v>0</v>
      </c>
      <c r="X31" s="423">
        <f>(DecarbCalcs2050[[#This Row],[Energy Efficiency]]-DecarbCalcs2050[[#This Row],[Total Values]])*EFs!AB5</f>
        <v>0</v>
      </c>
      <c r="Y31" s="424"/>
      <c r="Z31" s="423"/>
      <c r="AA31" s="424"/>
      <c r="AB31" s="385">
        <f>(DecarbCalcs2050[[#This Row],[After Renewable Electricity]]-DecarbCalcs2050[[#This Row],[RECs]])*EFs!$AB5</f>
        <v>0</v>
      </c>
      <c r="AC31" s="384"/>
      <c r="AE31" s="364" t="s">
        <v>67</v>
      </c>
      <c r="AF31" s="365" t="s">
        <v>68</v>
      </c>
      <c r="AG31" s="384">
        <f>(DecarbCalcs2050[[#This Row],[Energy Efficiency]]-DecarbCalcs2050[[#This Row],[Total Values]])*EFs!$AC5</f>
        <v>0</v>
      </c>
      <c r="AH31" s="385">
        <f>(DecarbCalcs2050[[#This Row],[Electrification]]-DecarbCalcs2050[[#This Row],[Energy Efficiency]])*EFs!$AC5</f>
        <v>0</v>
      </c>
      <c r="AI31" s="384">
        <f>(DecarbCalcs2050[[#This Row],[Fuel Switching]]-DecarbCalcs2050[[#This Row],[Electrification]])*EFs!$AC5</f>
        <v>0</v>
      </c>
      <c r="AJ31" s="423">
        <f>(DecarbCalcs2050[[#This Row],[Energy Efficiency]]-DecarbCalcs2050[[#This Row],[Total Values]])*EFs!AC5</f>
        <v>0</v>
      </c>
      <c r="AK31" s="384"/>
      <c r="AL31" s="385"/>
      <c r="AM31" s="384"/>
      <c r="AN31" s="385">
        <f>(DecarbCalcs2050[[#This Row],[After Renewable Electricity]]-DecarbCalcs2050[[#This Row],[RECs]])*EFs!$AC5</f>
        <v>0</v>
      </c>
      <c r="AO31" s="384"/>
      <c r="AQ31" s="364" t="s">
        <v>67</v>
      </c>
      <c r="AR31" s="365" t="s">
        <v>68</v>
      </c>
      <c r="AS31" s="384">
        <f>U31*-Assumptions!$G$43</f>
        <v>0</v>
      </c>
      <c r="AT31" s="385"/>
      <c r="AU31" s="384"/>
      <c r="AV31" s="385"/>
      <c r="AW31" s="384"/>
      <c r="AX31" s="385"/>
      <c r="AY31" s="384"/>
      <c r="AZ31" s="385"/>
      <c r="BB31" s="364" t="s">
        <v>67</v>
      </c>
      <c r="BC31" s="365" t="s">
        <v>68</v>
      </c>
      <c r="BD31" s="384">
        <f>U31*-Assumptions!$G$44</f>
        <v>0</v>
      </c>
      <c r="BE31" s="385"/>
      <c r="BF31" s="384"/>
      <c r="BG31" s="385"/>
      <c r="BH31" s="384"/>
      <c r="BI31" s="385"/>
      <c r="BJ31" s="384"/>
      <c r="BK31" s="385"/>
      <c r="BO31">
        <v>2050</v>
      </c>
      <c r="BP31" s="432"/>
      <c r="BQ31" s="432"/>
      <c r="BR31" s="432"/>
      <c r="BS31" s="284"/>
      <c r="BT31" s="284"/>
    </row>
    <row r="32" spans="1:80" ht="16.5" customHeight="1" x14ac:dyDescent="0.3">
      <c r="A32" s="27" t="s">
        <v>69</v>
      </c>
      <c r="B32" s="25" t="s">
        <v>80</v>
      </c>
      <c r="C32" s="289" cm="1">
        <f t="array" ref="C32">(1+'1. Emissions Forecast'!$C$31)^(2050-'1. Emissions Forecast'!$C$10)*('2. Facility Emissions'!E20*INDEX(ConversionTable[Conversion Factor],MATCH(1,(ConversionTable[Source]='2. Facility Emissions'!C20)*(ConversionTable[Original Unit]='2. Facility Emissions'!D20),0))+'2. Facility Emissions'!J20*INDEX(ConversionTable[Conversion Factor],MATCH(1,(ConversionTable[Source]='2. Facility Emissions'!H20)*(ConversionTable[Original Unit]='2. Facility Emissions'!I20),0))+'2. Facility Emissions'!O20*INDEX(ConversionTable[Conversion Factor],MATCH(1,(ConversionTable[Source]='2. Facility Emissions'!M20)*(ConversionTable[Original Unit]='2. Facility Emissions'!N20),0))+'2. Facility Emissions'!T20*INDEX(ConversionTable[Conversion Factor],MATCH(1,(ConversionTable[Source]='2. Facility Emissions'!R20)*(ConversionTable[Original Unit]='2. Facility Emissions'!S20),0))+'2. Facility Emissions'!Y20*INDEX(ConversionTable[Conversion Factor],MATCH(1,(ConversionTable[Source]='2. Facility Emissions'!W20)*(ConversionTable[Original Unit]='2. Facility Emissions'!X20),0))+'2. Facility Emissions'!E43*INDEX(ConversionTable[Conversion Factor],MATCH(1,(ConversionTable[Source]='2. Facility Emissions'!C43)*(ConversionTable[Original Unit]='2. Facility Emissions'!D43),0))+'2. Facility Emissions'!J43*INDEX(ConversionTable[Conversion Factor],MATCH(1,(ConversionTable[Source]='2. Facility Emissions'!H43)*(ConversionTable[Original Unit]='2. Facility Emissions'!I43),0))+'2. Facility Emissions'!O43*INDEX(ConversionTable[Conversion Factor],MATCH(1,(ConversionTable[Source]='2. Facility Emissions'!M43)*(ConversionTable[Original Unit]='2. Facility Emissions'!N43),0))+'2. Facility Emissions'!T43*INDEX(ConversionTable[Conversion Factor],MATCH(1,(ConversionTable[Source]='2. Facility Emissions'!R43)*(ConversionTable[Original Unit]='2. Facility Emissions'!S43),0))+'2. Facility Emissions'!Y43*INDEX(ConversionTable[Conversion Factor],MATCH(1,(ConversionTable[Source]='2. Facility Emissions'!W43)*(ConversionTable[Original Unit]='2. Facility Emissions'!X43),0)))</f>
        <v>0</v>
      </c>
      <c r="D32" s="283">
        <f>DecarbCalcs2050[[#This Row],[Total Values]]*(1-('3. Decarbonization Strategy'!$D$26))</f>
        <v>0</v>
      </c>
      <c r="E32" s="283">
        <f>DecarbCalcs2050[[#This Row],[Energy Efficiency]]*(1-'3. Decarbonization Strategy'!$D$47)</f>
        <v>0</v>
      </c>
      <c r="F32" s="283">
        <f>DecarbCalcs2050[[#This Row],[Electrification]]-DecarbCalcs2050[[#This Row],[Energy Efficiency]]*('3. Decarbonization Strategy'!$D$48)</f>
        <v>0</v>
      </c>
      <c r="G32" s="283">
        <f>DecarbCalcs2050[[#This Row],[Fuel Switching]]</f>
        <v>0</v>
      </c>
      <c r="H32" s="283">
        <f>DecarbCalcs2050[[#This Row],[Onsite]]</f>
        <v>0</v>
      </c>
      <c r="I32" s="283">
        <f>DecarbCalcs2050[[#This Row],[PPAs]]</f>
        <v>0</v>
      </c>
      <c r="J32" s="283">
        <f>DecarbCalcs2050[[#This Row],[Utility Programs]]</f>
        <v>0</v>
      </c>
      <c r="K32" s="283">
        <f>DecarbCalcs2050[[#This Row],[Fuel Switching]]</f>
        <v>0</v>
      </c>
      <c r="L32" s="283"/>
      <c r="S32" s="362" t="s">
        <v>69</v>
      </c>
      <c r="T32" s="363" t="s">
        <v>80</v>
      </c>
      <c r="U32" s="382">
        <f>(DecarbCalcs2050[[#This Row],[Energy Efficiency]]-DecarbCalcs2050[[#This Row],[Total Values]])*EFs!$AB6</f>
        <v>0</v>
      </c>
      <c r="V32" s="383">
        <f>(DecarbCalcs2050[[#This Row],[Electrification]]-DecarbCalcs2050[[#This Row],[Energy Efficiency]])*EFs!$AB6</f>
        <v>0</v>
      </c>
      <c r="W32" s="382">
        <f>(DecarbCalcs2050[[#This Row],[Fuel Switching]]-DecarbCalcs2050[[#This Row],[Electrification]])*EFs!$AB6</f>
        <v>0</v>
      </c>
      <c r="X32" s="383">
        <f>(DecarbCalcs2050[[#This Row],[Onsite]]-DecarbCalcs2050[[#This Row],[Fuel Switching]])*EFs!$AB6</f>
        <v>0</v>
      </c>
      <c r="Y32" s="382">
        <f>(DecarbCalcs2050[[#This Row],[PPAs]]-DecarbCalcs2050[[#This Row],[Onsite]])*EFs!$AB6</f>
        <v>0</v>
      </c>
      <c r="Z32" s="383">
        <f>(DecarbCalcs2050[[#This Row],[Utility Programs]]-DecarbCalcs2050[[#This Row],[PPAs]])*EFs!$AB6</f>
        <v>0</v>
      </c>
      <c r="AA32" s="382">
        <f>(DecarbCalcs2050[[#This Row],[RECs]]-DecarbCalcs2050[[#This Row],[Utility Programs]])*EFs!$AB6</f>
        <v>0</v>
      </c>
      <c r="AB32" s="383">
        <f>(DecarbCalcs2050[[#This Row],[After Renewable Electricity]]-DecarbCalcs2050[[#This Row],[RECs]])*EFs!$AB6</f>
        <v>0</v>
      </c>
      <c r="AC32" s="382"/>
      <c r="AE32" s="362" t="s">
        <v>69</v>
      </c>
      <c r="AF32" s="363" t="s">
        <v>80</v>
      </c>
      <c r="AG32" s="382">
        <f>(DecarbCalcs2050[[#This Row],[Energy Efficiency]]-DecarbCalcs2050[[#This Row],[Total Values]])*EFs!$AC6</f>
        <v>0</v>
      </c>
      <c r="AH32" s="383">
        <f>(DecarbCalcs2050[[#This Row],[Electrification]]-DecarbCalcs2050[[#This Row],[Energy Efficiency]])*EFs!$AC6</f>
        <v>0</v>
      </c>
      <c r="AI32" s="382">
        <f>(DecarbCalcs2050[[#This Row],[Fuel Switching]]-DecarbCalcs2050[[#This Row],[Electrification]])*EFs!$AC6</f>
        <v>0</v>
      </c>
      <c r="AJ32" s="383">
        <f>(DecarbCalcs2050[[#This Row],[Onsite]]-DecarbCalcs2050[[#This Row],[Fuel Switching]])*EFs!$AC6</f>
        <v>0</v>
      </c>
      <c r="AK32" s="382">
        <f>(DecarbCalcs2050[[#This Row],[PPAs]]-DecarbCalcs2050[[#This Row],[Onsite]])*EFs!$AC6</f>
        <v>0</v>
      </c>
      <c r="AL32" s="383">
        <f>(DecarbCalcs2050[[#This Row],[Utility Programs]]-DecarbCalcs2050[[#This Row],[PPAs]])*EFs!$AC6</f>
        <v>0</v>
      </c>
      <c r="AM32" s="382">
        <f>(DecarbCalcs2050[[#This Row],[RECs]]-DecarbCalcs2050[[#This Row],[Utility Programs]])*EFs!$AC6</f>
        <v>0</v>
      </c>
      <c r="AN32" s="383">
        <f>(DecarbCalcs2050[[#This Row],[After Renewable Electricity]]-DecarbCalcs2050[[#This Row],[RECs]])*EFs!$AC6</f>
        <v>0</v>
      </c>
      <c r="AO32" s="382"/>
      <c r="AQ32" s="362" t="s">
        <v>69</v>
      </c>
      <c r="AR32" s="363" t="s">
        <v>80</v>
      </c>
      <c r="AS32" s="382">
        <f>U32*-Assumptions!$G$43</f>
        <v>0</v>
      </c>
      <c r="AT32" s="383">
        <f>(DecarbCalcs2050[[#This Row],[Energy Efficiency]]-DecarbCalcs2050[[#This Row],[Electrification]])/Assumptions!$G$47*Assumptions!$G$49*EFs!Y6*'3. Decarbonization Strategy'!$C$39+(DecarbCalcs2050[[#This Row],[Energy Efficiency]]-DecarbCalcs2050[[#This Row],[Electrification]])/Assumptions!$G$48*Assumptions!$G$51*EFs!Y6*'3. Decarbonization Strategy'!$C$40</f>
        <v>0</v>
      </c>
      <c r="AU32" s="382">
        <f>(DecarbCalcs2050[[#This Row],[Electrification]]-DecarbCalcs2050[[#This Row],[Fuel Switching]])/Assumptions!$G$56*Assumptions!$G$57*EFs!Y6</f>
        <v>0</v>
      </c>
      <c r="AV32" s="383"/>
      <c r="AW32" s="382"/>
      <c r="AX32" s="383"/>
      <c r="AY32" s="382"/>
      <c r="AZ32" s="383"/>
      <c r="BB32" s="362" t="s">
        <v>69</v>
      </c>
      <c r="BC32" s="363" t="s">
        <v>80</v>
      </c>
      <c r="BD32" s="382">
        <f>U32*-Assumptions!$G$44</f>
        <v>0</v>
      </c>
      <c r="BE32" s="383">
        <f>(DecarbCalcs2050[[#This Row],[Energy Efficiency]]-DecarbCalcs2050[[#This Row],[Electrification]])/Assumptions!$G$47*Assumptions!$G$50*'3. Decarbonization Strategy'!$C$39*EFs!Y6+(DecarbCalcs2050[[#This Row],[Energy Efficiency]]-DecarbCalcs2050[[#This Row],[Electrification]])/Assumptions!$G$48*Assumptions!$G$52*'3. Decarbonization Strategy'!$C$40*EFs!Y6</f>
        <v>0</v>
      </c>
      <c r="BF32" s="382">
        <f>(DecarbCalcs2050[[#This Row],[Electrification]]-DecarbCalcs2050[[#This Row],[Fuel Switching]])/Assumptions!$G$56*Assumptions!$G$58*EFs!Y6</f>
        <v>0</v>
      </c>
      <c r="BG32" s="383"/>
      <c r="BH32" s="382"/>
      <c r="BI32" s="383"/>
      <c r="BJ32" s="382"/>
      <c r="BK32" s="383"/>
      <c r="BP32" s="432"/>
      <c r="BQ32" s="432"/>
      <c r="BR32" s="432"/>
      <c r="BS32" s="284"/>
      <c r="BT32" s="284"/>
    </row>
    <row r="33" spans="1:75" ht="16.5" customHeight="1" x14ac:dyDescent="0.3">
      <c r="A33" s="27" t="s">
        <v>71</v>
      </c>
      <c r="B33" s="25" t="s">
        <v>80</v>
      </c>
      <c r="C33" s="289" cm="1">
        <f t="array" ref="C33">(1+'1. Emissions Forecast'!$C$31)^(2050-'1. Emissions Forecast'!$C$10)*('2. Facility Emissions'!E21*INDEX(ConversionTable[Conversion Factor],MATCH(1,(ConversionTable[Source]='2. Facility Emissions'!C21)*(ConversionTable[Original Unit]='2. Facility Emissions'!D21),0))+'2. Facility Emissions'!J21*INDEX(ConversionTable[Conversion Factor],MATCH(1,(ConversionTable[Source]='2. Facility Emissions'!H21)*(ConversionTable[Original Unit]='2. Facility Emissions'!I21),0))+'2. Facility Emissions'!O21*INDEX(ConversionTable[Conversion Factor],MATCH(1,(ConversionTable[Source]='2. Facility Emissions'!M21)*(ConversionTable[Original Unit]='2. Facility Emissions'!N21),0))+'2. Facility Emissions'!T21*INDEX(ConversionTable[Conversion Factor],MATCH(1,(ConversionTable[Source]='2. Facility Emissions'!R21)*(ConversionTable[Original Unit]='2. Facility Emissions'!S21),0))+'2. Facility Emissions'!Y21*INDEX(ConversionTable[Conversion Factor],MATCH(1,(ConversionTable[Source]='2. Facility Emissions'!W21)*(ConversionTable[Original Unit]='2. Facility Emissions'!X21),0))+'2. Facility Emissions'!E44*INDEX(ConversionTable[Conversion Factor],MATCH(1,(ConversionTable[Source]='2. Facility Emissions'!C44)*(ConversionTable[Original Unit]='2. Facility Emissions'!D44),0))+'2. Facility Emissions'!J44*INDEX(ConversionTable[Conversion Factor],MATCH(1,(ConversionTable[Source]='2. Facility Emissions'!H44)*(ConversionTable[Original Unit]='2. Facility Emissions'!I44),0))+'2. Facility Emissions'!O44*INDEX(ConversionTable[Conversion Factor],MATCH(1,(ConversionTable[Source]='2. Facility Emissions'!M44)*(ConversionTable[Original Unit]='2. Facility Emissions'!N44),0))+'2. Facility Emissions'!T44*INDEX(ConversionTable[Conversion Factor],MATCH(1,(ConversionTable[Source]='2. Facility Emissions'!R44)*(ConversionTable[Original Unit]='2. Facility Emissions'!S44),0))+'2. Facility Emissions'!Y44*INDEX(ConversionTable[Conversion Factor],MATCH(1,(ConversionTable[Source]='2. Facility Emissions'!W44)*(ConversionTable[Original Unit]='2. Facility Emissions'!X44),0)))</f>
        <v>0</v>
      </c>
      <c r="D33" s="283">
        <f>DecarbCalcs2050[[#This Row],[Total Values]]*(1-('3. Decarbonization Strategy'!$D$26))</f>
        <v>0</v>
      </c>
      <c r="E33" s="283">
        <f>DecarbCalcs2050[[#This Row],[Energy Efficiency]]*(1-'3. Decarbonization Strategy'!$D$47)</f>
        <v>0</v>
      </c>
      <c r="F33" s="283">
        <f>DecarbCalcs2050[[#This Row],[Electrification]]-DecarbCalcs2050[[#This Row],[Energy Efficiency]]*('3. Decarbonization Strategy'!$D$48)</f>
        <v>0</v>
      </c>
      <c r="G33" s="283">
        <f>DecarbCalcs2050[[#This Row],[Fuel Switching]]</f>
        <v>0</v>
      </c>
      <c r="H33" s="283">
        <f>DecarbCalcs2050[[#This Row],[Onsite]]</f>
        <v>0</v>
      </c>
      <c r="I33" s="283">
        <f>DecarbCalcs2050[[#This Row],[PPAs]]</f>
        <v>0</v>
      </c>
      <c r="J33" s="283">
        <f>DecarbCalcs2050[[#This Row],[Utility Programs]]</f>
        <v>0</v>
      </c>
      <c r="K33" s="283">
        <f>DecarbCalcs2050[[#This Row],[Fuel Switching]]</f>
        <v>0</v>
      </c>
      <c r="L33" s="283"/>
      <c r="S33" s="364" t="s">
        <v>71</v>
      </c>
      <c r="T33" s="365" t="s">
        <v>80</v>
      </c>
      <c r="U33" s="384">
        <f>(DecarbCalcs2050[[#This Row],[Energy Efficiency]]-DecarbCalcs2050[[#This Row],[Total Values]])*EFs!$AB7</f>
        <v>0</v>
      </c>
      <c r="V33" s="385">
        <f>(DecarbCalcs2050[[#This Row],[Electrification]]-DecarbCalcs2050[[#This Row],[Energy Efficiency]])*EFs!$AB7</f>
        <v>0</v>
      </c>
      <c r="W33" s="384">
        <f>(DecarbCalcs2050[[#This Row],[Fuel Switching]]-DecarbCalcs2050[[#This Row],[Electrification]])*EFs!$AB7</f>
        <v>0</v>
      </c>
      <c r="X33" s="385">
        <f>(DecarbCalcs2050[[#This Row],[Onsite]]-DecarbCalcs2050[[#This Row],[Fuel Switching]])*EFs!$AB7</f>
        <v>0</v>
      </c>
      <c r="Y33" s="384">
        <f>(DecarbCalcs2050[[#This Row],[PPAs]]-DecarbCalcs2050[[#This Row],[Onsite]])*EFs!$AB7</f>
        <v>0</v>
      </c>
      <c r="Z33" s="385">
        <f>(DecarbCalcs2050[[#This Row],[Utility Programs]]-DecarbCalcs2050[[#This Row],[PPAs]])*EFs!$AB7</f>
        <v>0</v>
      </c>
      <c r="AA33" s="384">
        <f>(DecarbCalcs2050[[#This Row],[RECs]]-DecarbCalcs2050[[#This Row],[Utility Programs]])*EFs!$AB7</f>
        <v>0</v>
      </c>
      <c r="AB33" s="385">
        <f>(DecarbCalcs2050[[#This Row],[After Renewable Electricity]]-DecarbCalcs2050[[#This Row],[RECs]])*EFs!$AB7</f>
        <v>0</v>
      </c>
      <c r="AC33" s="384"/>
      <c r="AE33" s="364" t="s">
        <v>71</v>
      </c>
      <c r="AF33" s="365" t="s">
        <v>80</v>
      </c>
      <c r="AG33" s="384">
        <f>(DecarbCalcs2050[[#This Row],[Energy Efficiency]]-DecarbCalcs2050[[#This Row],[Total Values]])*EFs!$AC7</f>
        <v>0</v>
      </c>
      <c r="AH33" s="385">
        <f>(DecarbCalcs2050[[#This Row],[Electrification]]-DecarbCalcs2050[[#This Row],[Energy Efficiency]])*EFs!$AC7</f>
        <v>0</v>
      </c>
      <c r="AI33" s="384">
        <f>(DecarbCalcs2050[[#This Row],[Fuel Switching]]-DecarbCalcs2050[[#This Row],[Electrification]])*EFs!$AC7</f>
        <v>0</v>
      </c>
      <c r="AJ33" s="385">
        <f>(DecarbCalcs2050[[#This Row],[Onsite]]-DecarbCalcs2050[[#This Row],[Fuel Switching]])*EFs!$AC7</f>
        <v>0</v>
      </c>
      <c r="AK33" s="384">
        <f>(DecarbCalcs2050[[#This Row],[PPAs]]-DecarbCalcs2050[[#This Row],[Onsite]])*EFs!$AC7</f>
        <v>0</v>
      </c>
      <c r="AL33" s="385">
        <f>(DecarbCalcs2050[[#This Row],[Utility Programs]]-DecarbCalcs2050[[#This Row],[PPAs]])*EFs!$AC7</f>
        <v>0</v>
      </c>
      <c r="AM33" s="384">
        <f>(DecarbCalcs2050[[#This Row],[RECs]]-DecarbCalcs2050[[#This Row],[Utility Programs]])*EFs!$AC7</f>
        <v>0</v>
      </c>
      <c r="AN33" s="385">
        <f>(DecarbCalcs2050[[#This Row],[After Renewable Electricity]]-DecarbCalcs2050[[#This Row],[RECs]])*EFs!$AC7</f>
        <v>0</v>
      </c>
      <c r="AO33" s="384"/>
      <c r="AQ33" s="364" t="s">
        <v>71</v>
      </c>
      <c r="AR33" s="365" t="s">
        <v>80</v>
      </c>
      <c r="AS33" s="384">
        <f>U33*-Assumptions!$G$43</f>
        <v>0</v>
      </c>
      <c r="AT33" s="383">
        <f>(DecarbCalcs2050[[#This Row],[Energy Efficiency]]-DecarbCalcs2050[[#This Row],[Electrification]])/Assumptions!$G$47*Assumptions!$G$49*EFs!Y7*'3. Decarbonization Strategy'!$C$39+(DecarbCalcs2050[[#This Row],[Energy Efficiency]]-DecarbCalcs2050[[#This Row],[Electrification]])/Assumptions!$G$48*Assumptions!$G$51*EFs!Y7*'3. Decarbonization Strategy'!$C$40</f>
        <v>0</v>
      </c>
      <c r="AU33" s="384">
        <f>(DecarbCalcs2050[[#This Row],[Electrification]]-DecarbCalcs2050[[#This Row],[Fuel Switching]])/Assumptions!$G$56*Assumptions!$G$57*EFs!Y7</f>
        <v>0</v>
      </c>
      <c r="AV33" s="385"/>
      <c r="AW33" s="384"/>
      <c r="AX33" s="385"/>
      <c r="AY33" s="384"/>
      <c r="AZ33" s="385"/>
      <c r="BB33" s="364" t="s">
        <v>71</v>
      </c>
      <c r="BC33" s="365" t="s">
        <v>80</v>
      </c>
      <c r="BD33" s="384">
        <f>U33*-Assumptions!$G$44</f>
        <v>0</v>
      </c>
      <c r="BE33" s="383">
        <f>(DecarbCalcs2050[[#This Row],[Energy Efficiency]]-DecarbCalcs2050[[#This Row],[Electrification]])/Assumptions!$G$47*Assumptions!$G$50*'3. Decarbonization Strategy'!$C$39*EFs!Y7+(DecarbCalcs2050[[#This Row],[Energy Efficiency]]-DecarbCalcs2050[[#This Row],[Electrification]])/Assumptions!$G$48*Assumptions!$G$52*'3. Decarbonization Strategy'!$C$40*EFs!Y7</f>
        <v>0</v>
      </c>
      <c r="BF33" s="382">
        <f>(DecarbCalcs2050[[#This Row],[Electrification]]-DecarbCalcs2050[[#This Row],[Fuel Switching]])/Assumptions!$G$56*Assumptions!$G$58*EFs!Y7</f>
        <v>0</v>
      </c>
      <c r="BG33" s="385"/>
      <c r="BH33" s="384"/>
      <c r="BI33" s="385"/>
      <c r="BJ33" s="384"/>
      <c r="BK33" s="385"/>
    </row>
    <row r="34" spans="1:75" ht="16.5" customHeight="1" x14ac:dyDescent="0.3">
      <c r="A34" s="27" t="s">
        <v>73</v>
      </c>
      <c r="B34" s="25" t="s">
        <v>72</v>
      </c>
      <c r="C34" s="289" cm="1">
        <f t="array" ref="C34">(1+'1. Emissions Forecast'!$C$31)^(2050-'1. Emissions Forecast'!$C$10)*('2. Facility Emissions'!E22*INDEX(ConversionTable[Conversion Factor],MATCH(1,(ConversionTable[Source]='2. Facility Emissions'!C22)*(ConversionTable[Original Unit]='2. Facility Emissions'!D22),0))+'2. Facility Emissions'!J22*INDEX(ConversionTable[Conversion Factor],MATCH(1,(ConversionTable[Source]='2. Facility Emissions'!H22)*(ConversionTable[Original Unit]='2. Facility Emissions'!I22),0))+'2. Facility Emissions'!O22*INDEX(ConversionTable[Conversion Factor],MATCH(1,(ConversionTable[Source]='2. Facility Emissions'!M22)*(ConversionTable[Original Unit]='2. Facility Emissions'!N22),0))+'2. Facility Emissions'!T22*INDEX(ConversionTable[Conversion Factor],MATCH(1,(ConversionTable[Source]='2. Facility Emissions'!R22)*(ConversionTable[Original Unit]='2. Facility Emissions'!S22),0))+'2. Facility Emissions'!Y22*INDEX(ConversionTable[Conversion Factor],MATCH(1,(ConversionTable[Source]='2. Facility Emissions'!W22)*(ConversionTable[Original Unit]='2. Facility Emissions'!X22),0))+'2. Facility Emissions'!E45*INDEX(ConversionTable[Conversion Factor],MATCH(1,(ConversionTable[Source]='2. Facility Emissions'!C45)*(ConversionTable[Original Unit]='2. Facility Emissions'!D45),0))+'2. Facility Emissions'!J45*INDEX(ConversionTable[Conversion Factor],MATCH(1,(ConversionTable[Source]='2. Facility Emissions'!H45)*(ConversionTable[Original Unit]='2. Facility Emissions'!I45),0))+'2. Facility Emissions'!O45*INDEX(ConversionTable[Conversion Factor],MATCH(1,(ConversionTable[Source]='2. Facility Emissions'!M45)*(ConversionTable[Original Unit]='2. Facility Emissions'!N45),0))+'2. Facility Emissions'!T45*INDEX(ConversionTable[Conversion Factor],MATCH(1,(ConversionTable[Source]='2. Facility Emissions'!R45)*(ConversionTable[Original Unit]='2. Facility Emissions'!S45),0))+'2. Facility Emissions'!Y45*INDEX(ConversionTable[Conversion Factor],MATCH(1,(ConversionTable[Source]='2. Facility Emissions'!W45)*(ConversionTable[Original Unit]='2. Facility Emissions'!X45),0)))</f>
        <v>0</v>
      </c>
      <c r="D34" s="283">
        <f>DecarbCalcs2050[[#This Row],[Total Values]]*(1-('3. Decarbonization Strategy'!$D$26))</f>
        <v>0</v>
      </c>
      <c r="E34" s="283">
        <f>DecarbCalcs2050[[#This Row],[Energy Efficiency]]*(1-'3. Decarbonization Strategy'!$D$47)</f>
        <v>0</v>
      </c>
      <c r="F34" s="283">
        <f>DecarbCalcs2050[[#This Row],[Electrification]]-DecarbCalcs2050[[#This Row],[Energy Efficiency]]*('3. Decarbonization Strategy'!$D$48)</f>
        <v>0</v>
      </c>
      <c r="G34" s="283">
        <f>DecarbCalcs2050[[#This Row],[Fuel Switching]]</f>
        <v>0</v>
      </c>
      <c r="H34" s="283">
        <f>DecarbCalcs2050[[#This Row],[Onsite]]</f>
        <v>0</v>
      </c>
      <c r="I34" s="283">
        <f>DecarbCalcs2050[[#This Row],[PPAs]]</f>
        <v>0</v>
      </c>
      <c r="J34" s="283">
        <f>DecarbCalcs2050[[#This Row],[Utility Programs]]</f>
        <v>0</v>
      </c>
      <c r="K34" s="283">
        <f>DecarbCalcs2050[[#This Row],[Fuel Switching]]</f>
        <v>0</v>
      </c>
      <c r="L34" s="283"/>
      <c r="S34" s="362" t="s">
        <v>73</v>
      </c>
      <c r="T34" s="363" t="s">
        <v>72</v>
      </c>
      <c r="U34" s="382">
        <f>(DecarbCalcs2050[[#This Row],[Energy Efficiency]]-DecarbCalcs2050[[#This Row],[Total Values]])*EFs!$AB8</f>
        <v>0</v>
      </c>
      <c r="V34" s="383">
        <f>(DecarbCalcs2050[[#This Row],[Electrification]]-DecarbCalcs2050[[#This Row],[Energy Efficiency]])*EFs!$AB8</f>
        <v>0</v>
      </c>
      <c r="W34" s="382">
        <f>(DecarbCalcs2050[[#This Row],[Fuel Switching]]-DecarbCalcs2050[[#This Row],[Electrification]])*EFs!$AB8</f>
        <v>0</v>
      </c>
      <c r="X34" s="383">
        <f>(DecarbCalcs2050[[#This Row],[Onsite]]-DecarbCalcs2050[[#This Row],[Fuel Switching]])*EFs!$AB8</f>
        <v>0</v>
      </c>
      <c r="Y34" s="382">
        <f>(DecarbCalcs2050[[#This Row],[PPAs]]-DecarbCalcs2050[[#This Row],[Onsite]])*EFs!$AB8</f>
        <v>0</v>
      </c>
      <c r="Z34" s="383">
        <f>(DecarbCalcs2050[[#This Row],[Utility Programs]]-DecarbCalcs2050[[#This Row],[PPAs]])*EFs!$AB8</f>
        <v>0</v>
      </c>
      <c r="AA34" s="382">
        <f>(DecarbCalcs2050[[#This Row],[RECs]]-DecarbCalcs2050[[#This Row],[Utility Programs]])*EFs!$AB8</f>
        <v>0</v>
      </c>
      <c r="AB34" s="383">
        <f>(DecarbCalcs2050[[#This Row],[After Renewable Electricity]]-DecarbCalcs2050[[#This Row],[RECs]])*EFs!$AB8</f>
        <v>0</v>
      </c>
      <c r="AC34" s="382"/>
      <c r="AE34" s="362" t="s">
        <v>73</v>
      </c>
      <c r="AF34" s="363" t="s">
        <v>72</v>
      </c>
      <c r="AG34" s="382">
        <f>(DecarbCalcs2050[[#This Row],[Energy Efficiency]]-DecarbCalcs2050[[#This Row],[Total Values]])*EFs!$AC8</f>
        <v>0</v>
      </c>
      <c r="AH34" s="383">
        <f>(DecarbCalcs2050[[#This Row],[Electrification]]-DecarbCalcs2050[[#This Row],[Energy Efficiency]])*EFs!$AC8</f>
        <v>0</v>
      </c>
      <c r="AI34" s="382">
        <f>(DecarbCalcs2050[[#This Row],[Fuel Switching]]-DecarbCalcs2050[[#This Row],[Electrification]])*EFs!$AC8</f>
        <v>0</v>
      </c>
      <c r="AJ34" s="383">
        <f>(DecarbCalcs2050[[#This Row],[Onsite]]-DecarbCalcs2050[[#This Row],[Fuel Switching]])*EFs!$AC8</f>
        <v>0</v>
      </c>
      <c r="AK34" s="382">
        <f>(DecarbCalcs2050[[#This Row],[PPAs]]-DecarbCalcs2050[[#This Row],[Onsite]])*EFs!$AC8</f>
        <v>0</v>
      </c>
      <c r="AL34" s="383">
        <f>(DecarbCalcs2050[[#This Row],[Utility Programs]]-DecarbCalcs2050[[#This Row],[PPAs]])*EFs!$AC8</f>
        <v>0</v>
      </c>
      <c r="AM34" s="382">
        <f>(DecarbCalcs2050[[#This Row],[RECs]]-DecarbCalcs2050[[#This Row],[Utility Programs]])*EFs!$AC8</f>
        <v>0</v>
      </c>
      <c r="AN34" s="383">
        <f>(DecarbCalcs2050[[#This Row],[After Renewable Electricity]]-DecarbCalcs2050[[#This Row],[RECs]])*EFs!$AC8</f>
        <v>0</v>
      </c>
      <c r="AO34" s="382"/>
      <c r="AQ34" s="362" t="s">
        <v>73</v>
      </c>
      <c r="AR34" s="363" t="s">
        <v>72</v>
      </c>
      <c r="AS34" s="382">
        <f>U34*-Assumptions!$G$43</f>
        <v>0</v>
      </c>
      <c r="AT34" s="383">
        <f>(DecarbCalcs2050[[#This Row],[Energy Efficiency]]-DecarbCalcs2050[[#This Row],[Electrification]])/Assumptions!$G$47*Assumptions!$G$49*EFs!Y8*'3. Decarbonization Strategy'!$C$39+(DecarbCalcs2050[[#This Row],[Energy Efficiency]]-DecarbCalcs2050[[#This Row],[Electrification]])/Assumptions!$G$48*Assumptions!$G$51*EFs!Y8*'3. Decarbonization Strategy'!$C$40</f>
        <v>0</v>
      </c>
      <c r="AU34" s="382">
        <f>(DecarbCalcs2050[[#This Row],[Electrification]]-DecarbCalcs2050[[#This Row],[Fuel Switching]])/Assumptions!$G$56*Assumptions!$G$57*EFs!Y8</f>
        <v>0</v>
      </c>
      <c r="AV34" s="383"/>
      <c r="AW34" s="382"/>
      <c r="AX34" s="383"/>
      <c r="AY34" s="382"/>
      <c r="AZ34" s="383"/>
      <c r="BB34" s="362" t="s">
        <v>73</v>
      </c>
      <c r="BC34" s="363" t="s">
        <v>72</v>
      </c>
      <c r="BD34" s="382">
        <f>U34*-Assumptions!$G$44</f>
        <v>0</v>
      </c>
      <c r="BE34" s="383">
        <f>(DecarbCalcs2050[[#This Row],[Energy Efficiency]]-DecarbCalcs2050[[#This Row],[Electrification]])/Assumptions!$G$47*Assumptions!$G$50*'3. Decarbonization Strategy'!$C$39*EFs!Y8+(DecarbCalcs2050[[#This Row],[Energy Efficiency]]-DecarbCalcs2050[[#This Row],[Electrification]])/Assumptions!$G$48*Assumptions!$G$52*'3. Decarbonization Strategy'!$C$40*EFs!Y8</f>
        <v>0</v>
      </c>
      <c r="BF34" s="382">
        <f>(DecarbCalcs2050[[#This Row],[Electrification]]-DecarbCalcs2050[[#This Row],[Fuel Switching]])/Assumptions!$G$56*Assumptions!$G$58*EFs!Y8</f>
        <v>0</v>
      </c>
      <c r="BG34" s="383"/>
      <c r="BH34" s="382"/>
      <c r="BI34" s="383"/>
      <c r="BJ34" s="382"/>
      <c r="BK34" s="383"/>
      <c r="BO34" s="420" t="s">
        <v>147</v>
      </c>
      <c r="BP34" s="420" t="s">
        <v>148</v>
      </c>
      <c r="BQ34" s="420" t="s">
        <v>149</v>
      </c>
      <c r="BR34" s="420" t="s">
        <v>150</v>
      </c>
      <c r="BS34" s="420" t="s">
        <v>151</v>
      </c>
      <c r="BT34" s="420" t="s">
        <v>152</v>
      </c>
      <c r="BU34" s="425" t="s">
        <v>153</v>
      </c>
      <c r="BV34" s="425" t="s">
        <v>154</v>
      </c>
      <c r="BW34" s="425" t="s">
        <v>155</v>
      </c>
    </row>
    <row r="35" spans="1:75" ht="16.5" customHeight="1" x14ac:dyDescent="0.3">
      <c r="A35" s="27" t="s">
        <v>74</v>
      </c>
      <c r="B35" s="25" t="s">
        <v>72</v>
      </c>
      <c r="C35" s="289" cm="1">
        <f t="array" ref="C35">(1+'1. Emissions Forecast'!$C$31)^(2050-'1. Emissions Forecast'!$C$10)*('2. Facility Emissions'!E23*INDEX(ConversionTable[Conversion Factor],MATCH(1,(ConversionTable[Source]='2. Facility Emissions'!C23)*(ConversionTable[Original Unit]='2. Facility Emissions'!D23),0))+'2. Facility Emissions'!J23*INDEX(ConversionTable[Conversion Factor],MATCH(1,(ConversionTable[Source]='2. Facility Emissions'!H23)*(ConversionTable[Original Unit]='2. Facility Emissions'!I23),0))+'2. Facility Emissions'!O23*INDEX(ConversionTable[Conversion Factor],MATCH(1,(ConversionTable[Source]='2. Facility Emissions'!M23)*(ConversionTable[Original Unit]='2. Facility Emissions'!N23),0))+'2. Facility Emissions'!T23*INDEX(ConversionTable[Conversion Factor],MATCH(1,(ConversionTable[Source]='2. Facility Emissions'!R23)*(ConversionTable[Original Unit]='2. Facility Emissions'!S23),0))+'2. Facility Emissions'!Y23*INDEX(ConversionTable[Conversion Factor],MATCH(1,(ConversionTable[Source]='2. Facility Emissions'!W23)*(ConversionTable[Original Unit]='2. Facility Emissions'!X23),0))+'2. Facility Emissions'!E46*INDEX(ConversionTable[Conversion Factor],MATCH(1,(ConversionTable[Source]='2. Facility Emissions'!C46)*(ConversionTable[Original Unit]='2. Facility Emissions'!D46),0))+'2. Facility Emissions'!J46*INDEX(ConversionTable[Conversion Factor],MATCH(1,(ConversionTable[Source]='2. Facility Emissions'!H46)*(ConversionTable[Original Unit]='2. Facility Emissions'!I46),0))+'2. Facility Emissions'!O46*INDEX(ConversionTable[Conversion Factor],MATCH(1,(ConversionTable[Source]='2. Facility Emissions'!M46)*(ConversionTable[Original Unit]='2. Facility Emissions'!N46),0))+'2. Facility Emissions'!T46*INDEX(ConversionTable[Conversion Factor],MATCH(1,(ConversionTable[Source]='2. Facility Emissions'!R46)*(ConversionTable[Original Unit]='2. Facility Emissions'!S46),0))+'2. Facility Emissions'!Y46*INDEX(ConversionTable[Conversion Factor],MATCH(1,(ConversionTable[Source]='2. Facility Emissions'!W46)*(ConversionTable[Original Unit]='2. Facility Emissions'!X46),0)))</f>
        <v>0</v>
      </c>
      <c r="D35" s="283">
        <f>DecarbCalcs2050[[#This Row],[Total Values]]*(1-('3. Decarbonization Strategy'!$D$26))</f>
        <v>0</v>
      </c>
      <c r="E35" s="283">
        <f>DecarbCalcs2050[[#This Row],[Energy Efficiency]]*(1-'3. Decarbonization Strategy'!$D$47)</f>
        <v>0</v>
      </c>
      <c r="F35" s="283">
        <f>DecarbCalcs2050[[#This Row],[Electrification]]-DecarbCalcs2050[[#This Row],[Energy Efficiency]]*('3. Decarbonization Strategy'!$D$48)</f>
        <v>0</v>
      </c>
      <c r="G35" s="283">
        <f>DecarbCalcs2050[[#This Row],[Fuel Switching]]</f>
        <v>0</v>
      </c>
      <c r="H35" s="283">
        <f>DecarbCalcs2050[[#This Row],[Onsite]]</f>
        <v>0</v>
      </c>
      <c r="I35" s="283">
        <f>DecarbCalcs2050[[#This Row],[PPAs]]</f>
        <v>0</v>
      </c>
      <c r="J35" s="283">
        <f>DecarbCalcs2050[[#This Row],[Utility Programs]]</f>
        <v>0</v>
      </c>
      <c r="K35" s="283">
        <f>DecarbCalcs2050[[#This Row],[Fuel Switching]]</f>
        <v>0</v>
      </c>
      <c r="L35" s="283"/>
      <c r="S35" s="364" t="s">
        <v>74</v>
      </c>
      <c r="T35" s="365" t="s">
        <v>72</v>
      </c>
      <c r="U35" s="384">
        <f>(DecarbCalcs2050[[#This Row],[Energy Efficiency]]-DecarbCalcs2050[[#This Row],[Total Values]])*EFs!$AB9</f>
        <v>0</v>
      </c>
      <c r="V35" s="385">
        <f>(DecarbCalcs2050[[#This Row],[Electrification]]-DecarbCalcs2050[[#This Row],[Energy Efficiency]])*EFs!$AB9</f>
        <v>0</v>
      </c>
      <c r="W35" s="384">
        <f>(DecarbCalcs2050[[#This Row],[Fuel Switching]]-DecarbCalcs2050[[#This Row],[Electrification]])*EFs!$AB9</f>
        <v>0</v>
      </c>
      <c r="X35" s="385">
        <f>(DecarbCalcs2050[[#This Row],[Onsite]]-DecarbCalcs2050[[#This Row],[Fuel Switching]])*EFs!$AB9</f>
        <v>0</v>
      </c>
      <c r="Y35" s="384">
        <f>(DecarbCalcs2050[[#This Row],[PPAs]]-DecarbCalcs2050[[#This Row],[Onsite]])*EFs!$AB9</f>
        <v>0</v>
      </c>
      <c r="Z35" s="385">
        <f>(DecarbCalcs2050[[#This Row],[Utility Programs]]-DecarbCalcs2050[[#This Row],[PPAs]])*EFs!$AB9</f>
        <v>0</v>
      </c>
      <c r="AA35" s="384">
        <f>(DecarbCalcs2050[[#This Row],[RECs]]-DecarbCalcs2050[[#This Row],[Utility Programs]])*EFs!$AB9</f>
        <v>0</v>
      </c>
      <c r="AB35" s="385">
        <f>(DecarbCalcs2050[[#This Row],[After Renewable Electricity]]-DecarbCalcs2050[[#This Row],[RECs]])*EFs!$AB9</f>
        <v>0</v>
      </c>
      <c r="AC35" s="384"/>
      <c r="AE35" s="364" t="s">
        <v>74</v>
      </c>
      <c r="AF35" s="365" t="s">
        <v>72</v>
      </c>
      <c r="AG35" s="384">
        <f>(DecarbCalcs2050[[#This Row],[Energy Efficiency]]-DecarbCalcs2050[[#This Row],[Total Values]])*EFs!$AC9</f>
        <v>0</v>
      </c>
      <c r="AH35" s="385">
        <f>(DecarbCalcs2050[[#This Row],[Electrification]]-DecarbCalcs2050[[#This Row],[Energy Efficiency]])*EFs!$AC9</f>
        <v>0</v>
      </c>
      <c r="AI35" s="384">
        <f>(DecarbCalcs2050[[#This Row],[Fuel Switching]]-DecarbCalcs2050[[#This Row],[Electrification]])*EFs!$AC9</f>
        <v>0</v>
      </c>
      <c r="AJ35" s="385">
        <f>(DecarbCalcs2050[[#This Row],[Onsite]]-DecarbCalcs2050[[#This Row],[Fuel Switching]])*EFs!$AC9</f>
        <v>0</v>
      </c>
      <c r="AK35" s="384">
        <f>(DecarbCalcs2050[[#This Row],[PPAs]]-DecarbCalcs2050[[#This Row],[Onsite]])*EFs!$AC9</f>
        <v>0</v>
      </c>
      <c r="AL35" s="385">
        <f>(DecarbCalcs2050[[#This Row],[Utility Programs]]-DecarbCalcs2050[[#This Row],[PPAs]])*EFs!$AC9</f>
        <v>0</v>
      </c>
      <c r="AM35" s="384">
        <f>(DecarbCalcs2050[[#This Row],[RECs]]-DecarbCalcs2050[[#This Row],[Utility Programs]])*EFs!$AC9</f>
        <v>0</v>
      </c>
      <c r="AN35" s="385">
        <f>(DecarbCalcs2050[[#This Row],[After Renewable Electricity]]-DecarbCalcs2050[[#This Row],[RECs]])*EFs!$AC9</f>
        <v>0</v>
      </c>
      <c r="AO35" s="384"/>
      <c r="AQ35" s="364" t="s">
        <v>74</v>
      </c>
      <c r="AR35" s="365" t="s">
        <v>72</v>
      </c>
      <c r="AS35" s="384">
        <f>U35*-Assumptions!$G$43</f>
        <v>0</v>
      </c>
      <c r="AT35" s="383">
        <f>(DecarbCalcs2050[[#This Row],[Energy Efficiency]]-DecarbCalcs2050[[#This Row],[Electrification]])/Assumptions!$G$47*Assumptions!$G$49*EFs!Y9*'3. Decarbonization Strategy'!$C$39+(DecarbCalcs2050[[#This Row],[Energy Efficiency]]-DecarbCalcs2050[[#This Row],[Electrification]])/Assumptions!$G$48*Assumptions!$G$51*EFs!Y9*'3. Decarbonization Strategy'!$C$40</f>
        <v>0</v>
      </c>
      <c r="AU35" s="384">
        <f>(DecarbCalcs2050[[#This Row],[Electrification]]-DecarbCalcs2050[[#This Row],[Fuel Switching]])/Assumptions!$G$56*Assumptions!$G$57*EFs!Y9</f>
        <v>0</v>
      </c>
      <c r="AV35" s="385"/>
      <c r="AW35" s="384"/>
      <c r="AX35" s="385"/>
      <c r="AY35" s="384"/>
      <c r="AZ35" s="385"/>
      <c r="BB35" s="364" t="s">
        <v>74</v>
      </c>
      <c r="BC35" s="365" t="s">
        <v>72</v>
      </c>
      <c r="BD35" s="384">
        <f>U35*-Assumptions!$G$44</f>
        <v>0</v>
      </c>
      <c r="BE35" s="383">
        <f>(DecarbCalcs2050[[#This Row],[Energy Efficiency]]-DecarbCalcs2050[[#This Row],[Electrification]])/Assumptions!$G$47*Assumptions!$G$50*'3. Decarbonization Strategy'!$C$39*EFs!Y9+(DecarbCalcs2050[[#This Row],[Energy Efficiency]]-DecarbCalcs2050[[#This Row],[Electrification]])/Assumptions!$G$48*Assumptions!$G$52*'3. Decarbonization Strategy'!$C$40*EFs!Y9</f>
        <v>0</v>
      </c>
      <c r="BF35" s="382">
        <f>(DecarbCalcs2050[[#This Row],[Electrification]]-DecarbCalcs2050[[#This Row],[Fuel Switching]])/Assumptions!$G$56*Assumptions!$G$58*EFs!Y9</f>
        <v>0</v>
      </c>
      <c r="BG35" s="385"/>
      <c r="BH35" s="384"/>
      <c r="BI35" s="385"/>
      <c r="BJ35" s="384"/>
      <c r="BK35" s="385"/>
      <c r="BN35" s="288" t="s">
        <v>138</v>
      </c>
      <c r="BO35" s="421">
        <f>SUM(_xlfn.XLOOKUP(BN35,$U$2:$AC$2,$U$30:$AC$50))</f>
        <v>0</v>
      </c>
      <c r="BP35" s="421">
        <f>SUM(_xlfn.XLOOKUP(BN35,$AG$2:$AO$2,$AG$30:$AO$50))</f>
        <v>0</v>
      </c>
      <c r="BQ35" s="422">
        <f>IF(ABS(BO35)&gt;ABS(BP35),BP35,BO35)</f>
        <v>0</v>
      </c>
      <c r="BR35" s="422">
        <f>IF(ABS(BP35)&lt;ABS(BO35),BO35,BP35)</f>
        <v>0</v>
      </c>
      <c r="BS35" s="421">
        <f>SUM(_xlfn.XLOOKUP(BN35,$AS$2:$AZ$2,$AS$30:$AZ$50))</f>
        <v>0</v>
      </c>
      <c r="BT35" s="421">
        <f>SUM(_xlfn.XLOOKUP(BN35,$BD$2:$BK$2,$BD$30:$BK$50))</f>
        <v>0</v>
      </c>
      <c r="BU35" s="464" t="str">
        <f>IF("$"&amp;ROUND(LEFT(BS35,3),-1)/INDEX($BV$16:$BV$26,MATCH(ROUNDDOWN(IF(ISERROR(LOG10(BS35)),0,IF(LOG10(BS35)&lt;0,0,LOG10(BS35))),0),$BT$16:$BT$26,0))&amp;INDEX($BU$16:$BU$26,MATCH(ROUNDDOWN(IF(ISERROR(LOG10(BS35)),0,IF(LOG10(BS35)&lt;0,0,LOG10(BS35))),0),$BT$16:$BT$26,0))&amp;" - "&amp;"$"&amp;ROUND(LEFT(BT35,3),-1)/INDEX($BV$16:$BV$26,MATCH(ROUNDDOWN(IF(ISERROR(LOG10(BT35)),0,IF(LOG10(BT35)&lt;0,0,LOG10(BT35))),0),$BT$16:$BT$26,0))&amp;INDEX($BU$16:$BU$26,MATCH(ROUNDDOWN(IF(ISERROR(LOG10(BT35)),0,IF(LOG10(BT35)&lt;0,0,LOG10(BT35))),0),$BT$16:$BT$26,0))="$0 - $0","None","$"&amp;ROUND(LEFT(BS35,3),-1)/INDEX($BV$16:$BV$26,MATCH(ROUNDDOWN(IF(ISERROR(LOG10(BS35)),0,IF(LOG10(BS35)&lt;0,0,LOG10(BS35))),0),$BT$16:$BT$26,0))&amp;INDEX($BU$16:$BU$26,MATCH(ROUNDDOWN(IF(ISERROR(LOG10(BS35)),0,IF(LOG10(BS35)&lt;0,0,LOG10(BS35))),0),$BT$16:$BT$26,0))&amp;" - "&amp;"$"&amp;ROUND(LEFT(BT35,3),-1)/INDEX($BV$16:$BV$26,MATCH(ROUNDDOWN(IF(ISERROR(LOG10(BT35)),0,IF(LOG10(BT35)&lt;0,0,LOG10(BT35))),0),$BT$16:$BT$26,0))&amp;INDEX($BU$16:$BU$26,MATCH(ROUNDDOWN(IF(ISERROR(LOG10(BT35)),0,IF(LOG10(BT35)&lt;0,0,LOG10(BT35))),0),$BT$16:$BT$26,0)))</f>
        <v>None</v>
      </c>
      <c r="BV35" s="341" t="e">
        <f t="shared" ref="BV35:BV42" si="10">IFERROR("$"&amp;ROUND(LEFT(ABS(BQ35),3),-1)/INDEX($BV$17:$BV$26,MATCH(ROUNDDOWN(LOG10(ABS(BQ35)),0),$BT$17:$BT$26,0))&amp;INDEX($BU$17:$BU$26,MATCH(ROUNDDOWN(LOG10(ABS(BQ35)),0),$BT$17:$BT$26,0))&amp;" - "&amp;"$"&amp;ROUND(LEFT(ABS(BR35),3),-1)/INDEX($BV$17:$BV$26,MATCH(ROUNDDOWN(LOG10(ABS(BR35)),0),$BT$17:$BT$26,0))&amp;INDEX($BU$17:$BU$26,MATCH(ROUNDDOWN(LOG10(ABS(BR35)),0),$BT$17:$BT$26,0)),"$"&amp;0&amp;" - "&amp;"$"&amp;ROUND(LEFT(ABS(BR35),3),-1)/INDEX($BV$17:$BV$26,MATCH(ROUNDDOWN(LOG10(ABS(BR35)),0),$BT$17:$BT$26,0))&amp;INDEX($BU$17:$BU$26,MATCH(ROUNDDOWN(LOG10(ABS(BR35)),0),$BT$17:$BT$26,0)))&amp;IF(AVERAGE(BQ35:BR35)&lt;0,"-","+")</f>
        <v>#NUM!</v>
      </c>
      <c r="BW35" s="421" t="str">
        <f t="shared" ref="BW35:BW42" si="11">IFERROR(INDEX($BO$16:$BO$20,MATCH(AVERAGE(BS35:BT35)/-AVERAGE(BO35:BP35),$BP$16:$BP$20,1)),"No expense savings")</f>
        <v>No expense savings</v>
      </c>
    </row>
    <row r="36" spans="1:75" ht="16.5" customHeight="1" x14ac:dyDescent="0.3">
      <c r="A36" s="27" t="s">
        <v>75</v>
      </c>
      <c r="B36" s="25" t="s">
        <v>80</v>
      </c>
      <c r="C36" s="289" cm="1">
        <f t="array" ref="C36">(1+'1. Emissions Forecast'!$C$31)^(2050-'1. Emissions Forecast'!$C$10)*('2. Facility Emissions'!E24*INDEX(ConversionTable[Conversion Factor],MATCH(1,(ConversionTable[Source]='2. Facility Emissions'!C24)*(ConversionTable[Original Unit]='2. Facility Emissions'!D24),0))+'2. Facility Emissions'!J24*INDEX(ConversionTable[Conversion Factor],MATCH(1,(ConversionTable[Source]='2. Facility Emissions'!H24)*(ConversionTable[Original Unit]='2. Facility Emissions'!I24),0))+'2. Facility Emissions'!O24*INDEX(ConversionTable[Conversion Factor],MATCH(1,(ConversionTable[Source]='2. Facility Emissions'!M24)*(ConversionTable[Original Unit]='2. Facility Emissions'!N24),0))+'2. Facility Emissions'!T24*INDEX(ConversionTable[Conversion Factor],MATCH(1,(ConversionTable[Source]='2. Facility Emissions'!R24)*(ConversionTable[Original Unit]='2. Facility Emissions'!S24),0))+'2. Facility Emissions'!Y24*INDEX(ConversionTable[Conversion Factor],MATCH(1,(ConversionTable[Source]='2. Facility Emissions'!W24)*(ConversionTable[Original Unit]='2. Facility Emissions'!X24),0))+'2. Facility Emissions'!E47*INDEX(ConversionTable[Conversion Factor],MATCH(1,(ConversionTable[Source]='2. Facility Emissions'!C47)*(ConversionTable[Original Unit]='2. Facility Emissions'!D47),0))+'2. Facility Emissions'!J47*INDEX(ConversionTable[Conversion Factor],MATCH(1,(ConversionTable[Source]='2. Facility Emissions'!H47)*(ConversionTable[Original Unit]='2. Facility Emissions'!I47),0))+'2. Facility Emissions'!O47*INDEX(ConversionTable[Conversion Factor],MATCH(1,(ConversionTable[Source]='2. Facility Emissions'!M47)*(ConversionTable[Original Unit]='2. Facility Emissions'!N47),0))+'2. Facility Emissions'!T47*INDEX(ConversionTable[Conversion Factor],MATCH(1,(ConversionTable[Source]='2. Facility Emissions'!R47)*(ConversionTable[Original Unit]='2. Facility Emissions'!S47),0))+'2. Facility Emissions'!Y47*INDEX(ConversionTable[Conversion Factor],MATCH(1,(ConversionTable[Source]='2. Facility Emissions'!W47)*(ConversionTable[Original Unit]='2. Facility Emissions'!X47),0)))</f>
        <v>0</v>
      </c>
      <c r="D36" s="283">
        <f>DecarbCalcs2050[[#This Row],[Total Values]]*(1-('3. Decarbonization Strategy'!$D$26))</f>
        <v>0</v>
      </c>
      <c r="E36" s="283">
        <f>DecarbCalcs2050[[#This Row],[Energy Efficiency]]*(1-'3. Decarbonization Strategy'!$D$47)</f>
        <v>0</v>
      </c>
      <c r="F36" s="283">
        <f>DecarbCalcs2050[[#This Row],[Electrification]]-DecarbCalcs2050[[#This Row],[Energy Efficiency]]*('3. Decarbonization Strategy'!$D$48)</f>
        <v>0</v>
      </c>
      <c r="G36" s="283">
        <f>DecarbCalcs2050[[#This Row],[Fuel Switching]]</f>
        <v>0</v>
      </c>
      <c r="H36" s="283">
        <f>DecarbCalcs2050[[#This Row],[Onsite]]</f>
        <v>0</v>
      </c>
      <c r="I36" s="283">
        <f>DecarbCalcs2050[[#This Row],[PPAs]]</f>
        <v>0</v>
      </c>
      <c r="J36" s="283">
        <f>DecarbCalcs2050[[#This Row],[Utility Programs]]</f>
        <v>0</v>
      </c>
      <c r="K36" s="283">
        <f>DecarbCalcs2050[[#This Row],[Fuel Switching]]</f>
        <v>0</v>
      </c>
      <c r="L36" s="283"/>
      <c r="S36" s="362" t="s">
        <v>75</v>
      </c>
      <c r="T36" s="363" t="s">
        <v>80</v>
      </c>
      <c r="U36" s="382">
        <f>(DecarbCalcs2050[[#This Row],[Energy Efficiency]]-DecarbCalcs2050[[#This Row],[Total Values]])*EFs!$AB10</f>
        <v>0</v>
      </c>
      <c r="V36" s="383">
        <f>(DecarbCalcs2050[[#This Row],[Electrification]]-DecarbCalcs2050[[#This Row],[Energy Efficiency]])*EFs!$AB10</f>
        <v>0</v>
      </c>
      <c r="W36" s="382">
        <f>(DecarbCalcs2050[[#This Row],[Fuel Switching]]-DecarbCalcs2050[[#This Row],[Electrification]])*EFs!$AB10</f>
        <v>0</v>
      </c>
      <c r="X36" s="383">
        <f>(DecarbCalcs2050[[#This Row],[Onsite]]-DecarbCalcs2050[[#This Row],[Fuel Switching]])*EFs!$AB10</f>
        <v>0</v>
      </c>
      <c r="Y36" s="382">
        <f>(DecarbCalcs2050[[#This Row],[PPAs]]-DecarbCalcs2050[[#This Row],[Onsite]])*EFs!$AB10</f>
        <v>0</v>
      </c>
      <c r="Z36" s="383">
        <f>(DecarbCalcs2050[[#This Row],[Utility Programs]]-DecarbCalcs2050[[#This Row],[PPAs]])*EFs!$AB10</f>
        <v>0</v>
      </c>
      <c r="AA36" s="382">
        <f>(DecarbCalcs2050[[#This Row],[RECs]]-DecarbCalcs2050[[#This Row],[Utility Programs]])*EFs!$AB10</f>
        <v>0</v>
      </c>
      <c r="AB36" s="383">
        <f>(DecarbCalcs2050[[#This Row],[After Renewable Electricity]]-DecarbCalcs2050[[#This Row],[RECs]])*EFs!$AB10</f>
        <v>0</v>
      </c>
      <c r="AC36" s="382"/>
      <c r="AE36" s="362" t="s">
        <v>75</v>
      </c>
      <c r="AF36" s="363" t="s">
        <v>80</v>
      </c>
      <c r="AG36" s="382">
        <f>(DecarbCalcs2050[[#This Row],[Energy Efficiency]]-DecarbCalcs2050[[#This Row],[Total Values]])*EFs!$AC10</f>
        <v>0</v>
      </c>
      <c r="AH36" s="383">
        <f>(DecarbCalcs2050[[#This Row],[Electrification]]-DecarbCalcs2050[[#This Row],[Energy Efficiency]])*EFs!$AC10</f>
        <v>0</v>
      </c>
      <c r="AI36" s="382">
        <f>(DecarbCalcs2050[[#This Row],[Fuel Switching]]-DecarbCalcs2050[[#This Row],[Electrification]])*EFs!$AC10</f>
        <v>0</v>
      </c>
      <c r="AJ36" s="383">
        <f>(DecarbCalcs2050[[#This Row],[Onsite]]-DecarbCalcs2050[[#This Row],[Fuel Switching]])*EFs!$AC10</f>
        <v>0</v>
      </c>
      <c r="AK36" s="382">
        <f>(DecarbCalcs2050[[#This Row],[PPAs]]-DecarbCalcs2050[[#This Row],[Onsite]])*EFs!$AC10</f>
        <v>0</v>
      </c>
      <c r="AL36" s="383">
        <f>(DecarbCalcs2050[[#This Row],[Utility Programs]]-DecarbCalcs2050[[#This Row],[PPAs]])*EFs!$AC10</f>
        <v>0</v>
      </c>
      <c r="AM36" s="382">
        <f>(DecarbCalcs2050[[#This Row],[RECs]]-DecarbCalcs2050[[#This Row],[Utility Programs]])*EFs!$AC10</f>
        <v>0</v>
      </c>
      <c r="AN36" s="383">
        <f>(DecarbCalcs2050[[#This Row],[After Renewable Electricity]]-DecarbCalcs2050[[#This Row],[RECs]])*EFs!$AC10</f>
        <v>0</v>
      </c>
      <c r="AO36" s="382"/>
      <c r="AQ36" s="362" t="s">
        <v>75</v>
      </c>
      <c r="AR36" s="363" t="s">
        <v>80</v>
      </c>
      <c r="AS36" s="382">
        <f>U36*-Assumptions!$G$43</f>
        <v>0</v>
      </c>
      <c r="AT36" s="383">
        <f>(DecarbCalcs2050[[#This Row],[Energy Efficiency]]-DecarbCalcs2050[[#This Row],[Electrification]])/Assumptions!$G$47*Assumptions!$G$49*EFs!Y10*'3. Decarbonization Strategy'!$C$39+(DecarbCalcs2050[[#This Row],[Energy Efficiency]]-DecarbCalcs2050[[#This Row],[Electrification]])/Assumptions!$G$48*Assumptions!$G$51*EFs!Y10*'3. Decarbonization Strategy'!$C$40</f>
        <v>0</v>
      </c>
      <c r="AU36" s="382">
        <f>(DecarbCalcs2050[[#This Row],[Electrification]]-DecarbCalcs2050[[#This Row],[Fuel Switching]])/Assumptions!$G$56*Assumptions!$G$57*EFs!Y10</f>
        <v>0</v>
      </c>
      <c r="AV36" s="383"/>
      <c r="AW36" s="382"/>
      <c r="AX36" s="383"/>
      <c r="AY36" s="382"/>
      <c r="AZ36" s="383"/>
      <c r="BB36" s="362" t="s">
        <v>75</v>
      </c>
      <c r="BC36" s="363" t="s">
        <v>80</v>
      </c>
      <c r="BD36" s="382">
        <f>U36*-Assumptions!$G$44</f>
        <v>0</v>
      </c>
      <c r="BE36" s="383">
        <f>(DecarbCalcs2050[[#This Row],[Energy Efficiency]]-DecarbCalcs2050[[#This Row],[Electrification]])/Assumptions!$G$47*Assumptions!$G$50*'3. Decarbonization Strategy'!$C$39*EFs!Y10+(DecarbCalcs2050[[#This Row],[Energy Efficiency]]-DecarbCalcs2050[[#This Row],[Electrification]])/Assumptions!$G$48*Assumptions!$G$52*'3. Decarbonization Strategy'!$C$40*EFs!Y10</f>
        <v>0</v>
      </c>
      <c r="BF36" s="382">
        <f>(DecarbCalcs2050[[#This Row],[Electrification]]-DecarbCalcs2050[[#This Row],[Fuel Switching]])/Assumptions!$G$56*Assumptions!$G$58*EFs!Y10</f>
        <v>0</v>
      </c>
      <c r="BG36" s="383"/>
      <c r="BH36" s="382"/>
      <c r="BI36" s="383"/>
      <c r="BJ36" s="382"/>
      <c r="BK36" s="383"/>
      <c r="BN36" s="288" t="s">
        <v>139</v>
      </c>
      <c r="BO36" s="421">
        <f t="shared" ref="BO36:BO41" si="12">SUM(_xlfn.XLOOKUP(BN36,$U$2:$AC$2,$U$30:$AC$50))</f>
        <v>0</v>
      </c>
      <c r="BP36" s="421">
        <f t="shared" ref="BP36:BP41" si="13">SUM(_xlfn.XLOOKUP(BN36,$AG$2:$AO$2,$AG$30:$AO$50))</f>
        <v>0</v>
      </c>
      <c r="BQ36" s="422">
        <f t="shared" ref="BQ36:BQ42" si="14">IF(ABS(BO36)&gt;ABS(BP36),BP36,BO36)</f>
        <v>0</v>
      </c>
      <c r="BR36" s="422">
        <f t="shared" ref="BR36:BR42" si="15">IF(ABS(BP36)&lt;ABS(BO36),BO36,BP36)</f>
        <v>0</v>
      </c>
      <c r="BS36" s="421">
        <f t="shared" ref="BS36:BS41" si="16">SUM(_xlfn.XLOOKUP(BN36,$AS$2:$AZ$2,$AS$30:$AZ$50))</f>
        <v>0</v>
      </c>
      <c r="BT36" s="421">
        <f t="shared" ref="BT36:BT41" si="17">SUM(_xlfn.XLOOKUP(BN36,$BD$2:$BK$2,$BD$30:$BK$50))</f>
        <v>0</v>
      </c>
      <c r="BU36" s="464" t="str">
        <f t="shared" ref="BU36:BU42" si="18">IF("$"&amp;ROUND(LEFT(BS36,3),-1)/INDEX($BV$16:$BV$26,MATCH(ROUNDDOWN(IF(ISERROR(LOG10(BS36)),0,IF(LOG10(BS36)&lt;0,0,LOG10(BS36))),0),$BT$16:$BT$26,0))&amp;INDEX($BU$16:$BU$26,MATCH(ROUNDDOWN(IF(ISERROR(LOG10(BS36)),0,IF(LOG10(BS36)&lt;0,0,LOG10(BS36))),0),$BT$16:$BT$26,0))&amp;" - "&amp;"$"&amp;ROUND(LEFT(BT36,3),-1)/INDEX($BV$16:$BV$26,MATCH(ROUNDDOWN(IF(ISERROR(LOG10(BT36)),0,IF(LOG10(BT36)&lt;0,0,LOG10(BT36))),0),$BT$16:$BT$26,0))&amp;INDEX($BU$16:$BU$26,MATCH(ROUNDDOWN(IF(ISERROR(LOG10(BT36)),0,IF(LOG10(BT36)&lt;0,0,LOG10(BT36))),0),$BT$16:$BT$26,0))="$0 - $0","None","$"&amp;ROUND(LEFT(BS36,3),-1)/INDEX($BV$16:$BV$26,MATCH(ROUNDDOWN(IF(ISERROR(LOG10(BS36)),0,IF(LOG10(BS36)&lt;0,0,LOG10(BS36))),0),$BT$16:$BT$26,0))&amp;INDEX($BU$16:$BU$26,MATCH(ROUNDDOWN(IF(ISERROR(LOG10(BS36)),0,IF(LOG10(BS36)&lt;0,0,LOG10(BS36))),0),$BT$16:$BT$26,0))&amp;" - "&amp;"$"&amp;ROUND(LEFT(BT36,3),-1)/INDEX($BV$16:$BV$26,MATCH(ROUNDDOWN(IF(ISERROR(LOG10(BT36)),0,IF(LOG10(BT36)&lt;0,0,LOG10(BT36))),0),$BT$16:$BT$26,0))&amp;INDEX($BU$16:$BU$26,MATCH(ROUNDDOWN(IF(ISERROR(LOG10(BT36)),0,IF(LOG10(BT36)&lt;0,0,LOG10(BT36))),0),$BT$16:$BT$26,0)))</f>
        <v>None</v>
      </c>
      <c r="BV36" s="341" t="e">
        <f t="shared" si="10"/>
        <v>#NUM!</v>
      </c>
      <c r="BW36" s="421" t="str">
        <f t="shared" si="11"/>
        <v>No expense savings</v>
      </c>
    </row>
    <row r="37" spans="1:75" ht="16.5" customHeight="1" x14ac:dyDescent="0.3">
      <c r="A37" t="s">
        <v>77</v>
      </c>
      <c r="B37" s="25" t="s">
        <v>72</v>
      </c>
      <c r="C37" s="289" cm="1">
        <f t="array" ref="C37">(1+'1. Emissions Forecast'!$C$31)^(2050-'1. Emissions Forecast'!$C$10)*('2. Facility Emissions'!E25*INDEX(ConversionTable[Conversion Factor],MATCH(1,(ConversionTable[Source]='2. Facility Emissions'!C25)*(ConversionTable[Original Unit]='2. Facility Emissions'!D25),0))+'2. Facility Emissions'!J25*INDEX(ConversionTable[Conversion Factor],MATCH(1,(ConversionTable[Source]='2. Facility Emissions'!H25)*(ConversionTable[Original Unit]='2. Facility Emissions'!I25),0))+'2. Facility Emissions'!O25*INDEX(ConversionTable[Conversion Factor],MATCH(1,(ConversionTable[Source]='2. Facility Emissions'!M25)*(ConversionTable[Original Unit]='2. Facility Emissions'!N25),0))+'2. Facility Emissions'!T25*INDEX(ConversionTable[Conversion Factor],MATCH(1,(ConversionTable[Source]='2. Facility Emissions'!R25)*(ConversionTable[Original Unit]='2. Facility Emissions'!S25),0))+'2. Facility Emissions'!Y25*INDEX(ConversionTable[Conversion Factor],MATCH(1,(ConversionTable[Source]='2. Facility Emissions'!W25)*(ConversionTable[Original Unit]='2. Facility Emissions'!X25),0))+'2. Facility Emissions'!E48*INDEX(ConversionTable[Conversion Factor],MATCH(1,(ConversionTable[Source]='2. Facility Emissions'!C48)*(ConversionTable[Original Unit]='2. Facility Emissions'!D48),0))+'2. Facility Emissions'!J48*INDEX(ConversionTable[Conversion Factor],MATCH(1,(ConversionTable[Source]='2. Facility Emissions'!H48)*(ConversionTable[Original Unit]='2. Facility Emissions'!I48),0))+'2. Facility Emissions'!O48*INDEX(ConversionTable[Conversion Factor],MATCH(1,(ConversionTable[Source]='2. Facility Emissions'!M48)*(ConversionTable[Original Unit]='2. Facility Emissions'!N48),0))+'2. Facility Emissions'!T48*INDEX(ConversionTable[Conversion Factor],MATCH(1,(ConversionTable[Source]='2. Facility Emissions'!R48)*(ConversionTable[Original Unit]='2. Facility Emissions'!S48),0))+'2. Facility Emissions'!Y48*INDEX(ConversionTable[Conversion Factor],MATCH(1,(ConversionTable[Source]='2. Facility Emissions'!W48)*(ConversionTable[Original Unit]='2. Facility Emissions'!X48),0)))</f>
        <v>0</v>
      </c>
      <c r="D37" s="283">
        <f>DecarbCalcs2050[[#This Row],[Total Values]]*(1-('3. Decarbonization Strategy'!$D$26))</f>
        <v>0</v>
      </c>
      <c r="E37" s="283">
        <f>DecarbCalcs2050[[#This Row],[Energy Efficiency]]*(1-'3. Decarbonization Strategy'!$D$47)</f>
        <v>0</v>
      </c>
      <c r="F37" s="283">
        <f>DecarbCalcs2050[[#This Row],[Electrification]]-DecarbCalcs2050[[#This Row],[Energy Efficiency]]*('3. Decarbonization Strategy'!$D$48)</f>
        <v>0</v>
      </c>
      <c r="G37" s="283">
        <f>DecarbCalcs2050[[#This Row],[Fuel Switching]]</f>
        <v>0</v>
      </c>
      <c r="H37" s="283">
        <f>DecarbCalcs2050[[#This Row],[Onsite]]</f>
        <v>0</v>
      </c>
      <c r="I37" s="283">
        <f>DecarbCalcs2050[[#This Row],[PPAs]]</f>
        <v>0</v>
      </c>
      <c r="J37" s="283">
        <f>DecarbCalcs2050[[#This Row],[Utility Programs]]</f>
        <v>0</v>
      </c>
      <c r="K37" s="283">
        <f>DecarbCalcs2050[[#This Row],[Fuel Switching]]</f>
        <v>0</v>
      </c>
      <c r="L37" s="283"/>
      <c r="S37" s="366" t="s">
        <v>77</v>
      </c>
      <c r="T37" s="365" t="s">
        <v>72</v>
      </c>
      <c r="U37" s="386">
        <f>(DecarbCalcs2050[[#This Row],[Energy Efficiency]]-DecarbCalcs2050[[#This Row],[Total Values]])*EFs!$AB11</f>
        <v>0</v>
      </c>
      <c r="V37" s="385">
        <f>(DecarbCalcs2050[[#This Row],[Electrification]]-DecarbCalcs2050[[#This Row],[Energy Efficiency]])*EFs!$AB11</f>
        <v>0</v>
      </c>
      <c r="W37" s="386">
        <f>(DecarbCalcs2050[[#This Row],[Fuel Switching]]-DecarbCalcs2050[[#This Row],[Electrification]])*EFs!$AB11</f>
        <v>0</v>
      </c>
      <c r="X37" s="385">
        <f>(DecarbCalcs2050[[#This Row],[Onsite]]-DecarbCalcs2050[[#This Row],[Fuel Switching]])*EFs!$AB11</f>
        <v>0</v>
      </c>
      <c r="Y37" s="386">
        <f>(DecarbCalcs2050[[#This Row],[PPAs]]-DecarbCalcs2050[[#This Row],[Onsite]])*EFs!$AB11</f>
        <v>0</v>
      </c>
      <c r="Z37" s="385">
        <f>(DecarbCalcs2050[[#This Row],[Utility Programs]]-DecarbCalcs2050[[#This Row],[PPAs]])*EFs!$AB11</f>
        <v>0</v>
      </c>
      <c r="AA37" s="386">
        <f>(DecarbCalcs2050[[#This Row],[RECs]]-DecarbCalcs2050[[#This Row],[Utility Programs]])*EFs!$AB11</f>
        <v>0</v>
      </c>
      <c r="AB37" s="385">
        <f>(DecarbCalcs2050[[#This Row],[After Renewable Electricity]]-DecarbCalcs2050[[#This Row],[RECs]])*EFs!$AB11</f>
        <v>0</v>
      </c>
      <c r="AC37" s="386"/>
      <c r="AE37" s="366" t="s">
        <v>77</v>
      </c>
      <c r="AF37" s="365" t="s">
        <v>72</v>
      </c>
      <c r="AG37" s="386">
        <f>(DecarbCalcs2050[[#This Row],[Energy Efficiency]]-DecarbCalcs2050[[#This Row],[Total Values]])*EFs!$AC11</f>
        <v>0</v>
      </c>
      <c r="AH37" s="385">
        <f>(DecarbCalcs2050[[#This Row],[Electrification]]-DecarbCalcs2050[[#This Row],[Energy Efficiency]])*EFs!$AC11</f>
        <v>0</v>
      </c>
      <c r="AI37" s="386">
        <f>(DecarbCalcs2050[[#This Row],[Fuel Switching]]-DecarbCalcs2050[[#This Row],[Electrification]])*EFs!$AC11</f>
        <v>0</v>
      </c>
      <c r="AJ37" s="385">
        <f>(DecarbCalcs2050[[#This Row],[Onsite]]-DecarbCalcs2050[[#This Row],[Fuel Switching]])*EFs!$AC11</f>
        <v>0</v>
      </c>
      <c r="AK37" s="386">
        <f>(DecarbCalcs2050[[#This Row],[PPAs]]-DecarbCalcs2050[[#This Row],[Onsite]])*EFs!$AC11</f>
        <v>0</v>
      </c>
      <c r="AL37" s="385">
        <f>(DecarbCalcs2050[[#This Row],[Utility Programs]]-DecarbCalcs2050[[#This Row],[PPAs]])*EFs!$AC11</f>
        <v>0</v>
      </c>
      <c r="AM37" s="386">
        <f>(DecarbCalcs2050[[#This Row],[RECs]]-DecarbCalcs2050[[#This Row],[Utility Programs]])*EFs!$AC11</f>
        <v>0</v>
      </c>
      <c r="AN37" s="385">
        <f>(DecarbCalcs2050[[#This Row],[After Renewable Electricity]]-DecarbCalcs2050[[#This Row],[RECs]])*EFs!$AC11</f>
        <v>0</v>
      </c>
      <c r="AO37" s="386"/>
      <c r="AQ37" s="366" t="s">
        <v>77</v>
      </c>
      <c r="AR37" s="365" t="s">
        <v>72</v>
      </c>
      <c r="AS37" s="386">
        <f>U37*-Assumptions!$G$43</f>
        <v>0</v>
      </c>
      <c r="AT37" s="383">
        <f>(DecarbCalcs2050[[#This Row],[Energy Efficiency]]-DecarbCalcs2050[[#This Row],[Electrification]])/Assumptions!$G$47*Assumptions!$G$49*EFs!Y11*'3. Decarbonization Strategy'!$C$39+(DecarbCalcs2050[[#This Row],[Energy Efficiency]]-DecarbCalcs2050[[#This Row],[Electrification]])/Assumptions!$G$48*Assumptions!$G$51*EFs!Y11*'3. Decarbonization Strategy'!$C$40</f>
        <v>0</v>
      </c>
      <c r="AU37" s="386">
        <f>(DecarbCalcs2050[[#This Row],[Electrification]]-DecarbCalcs2050[[#This Row],[Fuel Switching]])/Assumptions!$G$56*Assumptions!$G$57*EFs!Y11</f>
        <v>0</v>
      </c>
      <c r="AV37" s="385"/>
      <c r="AW37" s="386"/>
      <c r="AX37" s="385"/>
      <c r="AY37" s="386"/>
      <c r="AZ37" s="385"/>
      <c r="BB37" s="366" t="s">
        <v>77</v>
      </c>
      <c r="BC37" s="365" t="s">
        <v>72</v>
      </c>
      <c r="BD37" s="386">
        <f>U37*-Assumptions!$G$44</f>
        <v>0</v>
      </c>
      <c r="BE37" s="383">
        <f>(DecarbCalcs2050[[#This Row],[Energy Efficiency]]-DecarbCalcs2050[[#This Row],[Electrification]])/Assumptions!$G$47*Assumptions!$G$50*'3. Decarbonization Strategy'!$C$39*EFs!Y11+(DecarbCalcs2050[[#This Row],[Energy Efficiency]]-DecarbCalcs2050[[#This Row],[Electrification]])/Assumptions!$G$48*Assumptions!$G$52*'3. Decarbonization Strategy'!$C$40*EFs!Y11</f>
        <v>0</v>
      </c>
      <c r="BF37" s="382">
        <f>(DecarbCalcs2050[[#This Row],[Electrification]]-DecarbCalcs2050[[#This Row],[Fuel Switching]])/Assumptions!$G$56*Assumptions!$G$58*EFs!Y11</f>
        <v>0</v>
      </c>
      <c r="BG37" s="385"/>
      <c r="BH37" s="386"/>
      <c r="BI37" s="385"/>
      <c r="BJ37" s="386"/>
      <c r="BK37" s="385"/>
      <c r="BN37" s="288" t="s">
        <v>140</v>
      </c>
      <c r="BO37" s="421">
        <f t="shared" si="12"/>
        <v>0</v>
      </c>
      <c r="BP37" s="421">
        <f t="shared" si="13"/>
        <v>0</v>
      </c>
      <c r="BQ37" s="422">
        <f t="shared" si="14"/>
        <v>0</v>
      </c>
      <c r="BR37" s="422">
        <f t="shared" si="15"/>
        <v>0</v>
      </c>
      <c r="BS37" s="421">
        <f t="shared" si="16"/>
        <v>0</v>
      </c>
      <c r="BT37" s="421">
        <f t="shared" si="17"/>
        <v>0</v>
      </c>
      <c r="BU37" s="464" t="str">
        <f t="shared" si="18"/>
        <v>None</v>
      </c>
      <c r="BV37" s="341" t="e">
        <f t="shared" si="10"/>
        <v>#NUM!</v>
      </c>
      <c r="BW37" s="421" t="str">
        <f t="shared" si="11"/>
        <v>No expense savings</v>
      </c>
    </row>
    <row r="38" spans="1:75" ht="16.5" customHeight="1" x14ac:dyDescent="0.3">
      <c r="A38" t="s">
        <v>78</v>
      </c>
      <c r="B38" s="25" t="s">
        <v>72</v>
      </c>
      <c r="C38" s="289" cm="1">
        <f t="array" ref="C38">(1+'1. Emissions Forecast'!$C$31)^(2050-'1. Emissions Forecast'!$C$10)*('2. Facility Emissions'!E26*INDEX(ConversionTable[Conversion Factor],MATCH(1,(ConversionTable[Source]='2. Facility Emissions'!C26)*(ConversionTable[Original Unit]='2. Facility Emissions'!D26),0))+'2. Facility Emissions'!J26*INDEX(ConversionTable[Conversion Factor],MATCH(1,(ConversionTable[Source]='2. Facility Emissions'!H26)*(ConversionTable[Original Unit]='2. Facility Emissions'!I26),0))+'2. Facility Emissions'!O26*INDEX(ConversionTable[Conversion Factor],MATCH(1,(ConversionTable[Source]='2. Facility Emissions'!M26)*(ConversionTable[Original Unit]='2. Facility Emissions'!N26),0))+'2. Facility Emissions'!T26*INDEX(ConversionTable[Conversion Factor],MATCH(1,(ConversionTable[Source]='2. Facility Emissions'!R26)*(ConversionTable[Original Unit]='2. Facility Emissions'!S26),0))+'2. Facility Emissions'!Y26*INDEX(ConversionTable[Conversion Factor],MATCH(1,(ConversionTable[Source]='2. Facility Emissions'!W26)*(ConversionTable[Original Unit]='2. Facility Emissions'!X26),0))+'2. Facility Emissions'!E49*INDEX(ConversionTable[Conversion Factor],MATCH(1,(ConversionTable[Source]='2. Facility Emissions'!C49)*(ConversionTable[Original Unit]='2. Facility Emissions'!D49),0))+'2. Facility Emissions'!J49*INDEX(ConversionTable[Conversion Factor],MATCH(1,(ConversionTable[Source]='2. Facility Emissions'!H49)*(ConversionTable[Original Unit]='2. Facility Emissions'!I49),0))+'2. Facility Emissions'!O49*INDEX(ConversionTable[Conversion Factor],MATCH(1,(ConversionTable[Source]='2. Facility Emissions'!M49)*(ConversionTable[Original Unit]='2. Facility Emissions'!N49),0))+'2. Facility Emissions'!T49*INDEX(ConversionTable[Conversion Factor],MATCH(1,(ConversionTable[Source]='2. Facility Emissions'!R49)*(ConversionTable[Original Unit]='2. Facility Emissions'!S49),0))+'2. Facility Emissions'!Y49*INDEX(ConversionTable[Conversion Factor],MATCH(1,(ConversionTable[Source]='2. Facility Emissions'!W49)*(ConversionTable[Original Unit]='2. Facility Emissions'!X49),0)))</f>
        <v>0</v>
      </c>
      <c r="D38" s="283">
        <f>DecarbCalcs2050[[#This Row],[Total Values]]*(1-('3. Decarbonization Strategy'!$D$26))</f>
        <v>0</v>
      </c>
      <c r="E38" s="283">
        <f>DecarbCalcs2050[[#This Row],[Energy Efficiency]]*(1-'3. Decarbonization Strategy'!$D$47)</f>
        <v>0</v>
      </c>
      <c r="F38" s="283">
        <f>DecarbCalcs2050[[#This Row],[Electrification]]-DecarbCalcs2050[[#This Row],[Energy Efficiency]]*('3. Decarbonization Strategy'!$D$48)</f>
        <v>0</v>
      </c>
      <c r="G38" s="283">
        <f>DecarbCalcs2050[[#This Row],[Fuel Switching]]</f>
        <v>0</v>
      </c>
      <c r="H38" s="283">
        <f>DecarbCalcs2050[[#This Row],[Onsite]]</f>
        <v>0</v>
      </c>
      <c r="I38" s="283">
        <f>DecarbCalcs2050[[#This Row],[PPAs]]</f>
        <v>0</v>
      </c>
      <c r="J38" s="283">
        <f>DecarbCalcs2050[[#This Row],[Utility Programs]]</f>
        <v>0</v>
      </c>
      <c r="K38" s="283">
        <f>DecarbCalcs2050[[#This Row],[Fuel Switching]]</f>
        <v>0</v>
      </c>
      <c r="L38" s="283"/>
      <c r="S38" s="367" t="s">
        <v>78</v>
      </c>
      <c r="T38" s="363" t="s">
        <v>72</v>
      </c>
      <c r="U38" s="387">
        <f>(DecarbCalcs2050[[#This Row],[Energy Efficiency]]-DecarbCalcs2050[[#This Row],[Total Values]])*EFs!$AB12</f>
        <v>0</v>
      </c>
      <c r="V38" s="383">
        <f>(DecarbCalcs2050[[#This Row],[Electrification]]-DecarbCalcs2050[[#This Row],[Energy Efficiency]])*EFs!$AB12</f>
        <v>0</v>
      </c>
      <c r="W38" s="387">
        <f>(DecarbCalcs2050[[#This Row],[Fuel Switching]]-DecarbCalcs2050[[#This Row],[Electrification]])*EFs!$AB12</f>
        <v>0</v>
      </c>
      <c r="X38" s="383">
        <f>(DecarbCalcs2050[[#This Row],[Onsite]]-DecarbCalcs2050[[#This Row],[Fuel Switching]])*EFs!$AB12</f>
        <v>0</v>
      </c>
      <c r="Y38" s="387">
        <f>(DecarbCalcs2050[[#This Row],[PPAs]]-DecarbCalcs2050[[#This Row],[Onsite]])*EFs!$AB12</f>
        <v>0</v>
      </c>
      <c r="Z38" s="383">
        <f>(DecarbCalcs2050[[#This Row],[Utility Programs]]-DecarbCalcs2050[[#This Row],[PPAs]])*EFs!$AB12</f>
        <v>0</v>
      </c>
      <c r="AA38" s="387">
        <f>(DecarbCalcs2050[[#This Row],[RECs]]-DecarbCalcs2050[[#This Row],[Utility Programs]])*EFs!$AB12</f>
        <v>0</v>
      </c>
      <c r="AB38" s="383">
        <f>(DecarbCalcs2050[[#This Row],[After Renewable Electricity]]-DecarbCalcs2050[[#This Row],[RECs]])*EFs!$AB12</f>
        <v>0</v>
      </c>
      <c r="AC38" s="387"/>
      <c r="AE38" s="367" t="s">
        <v>78</v>
      </c>
      <c r="AF38" s="363" t="s">
        <v>72</v>
      </c>
      <c r="AG38" s="387">
        <f>(DecarbCalcs2050[[#This Row],[Energy Efficiency]]-DecarbCalcs2050[[#This Row],[Total Values]])*EFs!$AC12</f>
        <v>0</v>
      </c>
      <c r="AH38" s="383">
        <f>(DecarbCalcs2050[[#This Row],[Electrification]]-DecarbCalcs2050[[#This Row],[Energy Efficiency]])*EFs!$AC12</f>
        <v>0</v>
      </c>
      <c r="AI38" s="387">
        <f>(DecarbCalcs2050[[#This Row],[Fuel Switching]]-DecarbCalcs2050[[#This Row],[Electrification]])*EFs!$AC12</f>
        <v>0</v>
      </c>
      <c r="AJ38" s="383">
        <f>(DecarbCalcs2050[[#This Row],[Onsite]]-DecarbCalcs2050[[#This Row],[Fuel Switching]])*EFs!$AC12</f>
        <v>0</v>
      </c>
      <c r="AK38" s="387">
        <f>(DecarbCalcs2050[[#This Row],[PPAs]]-DecarbCalcs2050[[#This Row],[Onsite]])*EFs!$AC12</f>
        <v>0</v>
      </c>
      <c r="AL38" s="383">
        <f>(DecarbCalcs2050[[#This Row],[Utility Programs]]-DecarbCalcs2050[[#This Row],[PPAs]])*EFs!$AC12</f>
        <v>0</v>
      </c>
      <c r="AM38" s="387">
        <f>(DecarbCalcs2050[[#This Row],[RECs]]-DecarbCalcs2050[[#This Row],[Utility Programs]])*EFs!$AC12</f>
        <v>0</v>
      </c>
      <c r="AN38" s="383">
        <f>(DecarbCalcs2050[[#This Row],[After Renewable Electricity]]-DecarbCalcs2050[[#This Row],[RECs]])*EFs!$AC12</f>
        <v>0</v>
      </c>
      <c r="AO38" s="387"/>
      <c r="AQ38" s="367" t="s">
        <v>78</v>
      </c>
      <c r="AR38" s="363" t="s">
        <v>72</v>
      </c>
      <c r="AS38" s="387">
        <f>U38*-Assumptions!$G$43</f>
        <v>0</v>
      </c>
      <c r="AT38" s="383">
        <f>(DecarbCalcs2050[[#This Row],[Energy Efficiency]]-DecarbCalcs2050[[#This Row],[Electrification]])/Assumptions!$G$47*Assumptions!$G$49*EFs!Y12*'3. Decarbonization Strategy'!$C$39+(DecarbCalcs2050[[#This Row],[Energy Efficiency]]-DecarbCalcs2050[[#This Row],[Electrification]])/Assumptions!$G$48*Assumptions!$G$51*EFs!Y12*'3. Decarbonization Strategy'!$C$40</f>
        <v>0</v>
      </c>
      <c r="AU38" s="387">
        <f>(DecarbCalcs2050[[#This Row],[Electrification]]-DecarbCalcs2050[[#This Row],[Fuel Switching]])/Assumptions!$G$56*Assumptions!$G$57*EFs!Y12</f>
        <v>0</v>
      </c>
      <c r="AV38" s="383"/>
      <c r="AW38" s="387"/>
      <c r="AX38" s="383"/>
      <c r="AY38" s="387"/>
      <c r="AZ38" s="383"/>
      <c r="BB38" s="367" t="s">
        <v>78</v>
      </c>
      <c r="BC38" s="363" t="s">
        <v>72</v>
      </c>
      <c r="BD38" s="387">
        <f>U38*-Assumptions!$G$44</f>
        <v>0</v>
      </c>
      <c r="BE38" s="383">
        <f>(DecarbCalcs2050[[#This Row],[Energy Efficiency]]-DecarbCalcs2050[[#This Row],[Electrification]])/Assumptions!$G$47*Assumptions!$G$50*'3. Decarbonization Strategy'!$C$39*EFs!Y12+(DecarbCalcs2050[[#This Row],[Energy Efficiency]]-DecarbCalcs2050[[#This Row],[Electrification]])/Assumptions!$G$48*Assumptions!$G$52*'3. Decarbonization Strategy'!$C$40*EFs!Y12</f>
        <v>0</v>
      </c>
      <c r="BF38" s="382">
        <f>(DecarbCalcs2050[[#This Row],[Electrification]]-DecarbCalcs2050[[#This Row],[Fuel Switching]])/Assumptions!$G$56*Assumptions!$G$58*EFs!Y12</f>
        <v>0</v>
      </c>
      <c r="BG38" s="383"/>
      <c r="BH38" s="387"/>
      <c r="BI38" s="383"/>
      <c r="BJ38" s="387"/>
      <c r="BK38" s="383"/>
      <c r="BN38" s="288" t="s">
        <v>141</v>
      </c>
      <c r="BO38" s="421">
        <f t="shared" si="12"/>
        <v>0</v>
      </c>
      <c r="BP38" s="421">
        <f>SUM(_xlfn.XLOOKUP(BN38,$AG$2:$AO$2,$AG$30:$AO$50))</f>
        <v>0</v>
      </c>
      <c r="BQ38" s="422">
        <f t="shared" si="14"/>
        <v>0</v>
      </c>
      <c r="BR38" s="422">
        <f t="shared" si="15"/>
        <v>0</v>
      </c>
      <c r="BS38" s="421">
        <f t="shared" si="16"/>
        <v>0</v>
      </c>
      <c r="BT38" s="421">
        <f t="shared" si="17"/>
        <v>0</v>
      </c>
      <c r="BU38" s="464" t="str">
        <f t="shared" si="18"/>
        <v>None</v>
      </c>
      <c r="BV38" s="341" t="e">
        <f t="shared" si="10"/>
        <v>#NUM!</v>
      </c>
      <c r="BW38" s="421" t="str">
        <f t="shared" si="11"/>
        <v>No expense savings</v>
      </c>
    </row>
    <row r="39" spans="1:75" ht="16.5" customHeight="1" x14ac:dyDescent="0.3">
      <c r="A39" t="s">
        <v>79</v>
      </c>
      <c r="B39" s="25" t="s">
        <v>72</v>
      </c>
      <c r="C39" s="289" cm="1">
        <f t="array" ref="C39">(1+'1. Emissions Forecast'!$C$31)^(2050-'1. Emissions Forecast'!$C$10)*('2. Facility Emissions'!E27*INDEX(ConversionTable[Conversion Factor],MATCH(1,(ConversionTable[Source]='2. Facility Emissions'!C27)*(ConversionTable[Original Unit]='2. Facility Emissions'!D27),0))+'2. Facility Emissions'!J27*INDEX(ConversionTable[Conversion Factor],MATCH(1,(ConversionTable[Source]='2. Facility Emissions'!H27)*(ConversionTable[Original Unit]='2. Facility Emissions'!I27),0))+'2. Facility Emissions'!O27*INDEX(ConversionTable[Conversion Factor],MATCH(1,(ConversionTable[Source]='2. Facility Emissions'!M27)*(ConversionTable[Original Unit]='2. Facility Emissions'!N27),0))+'2. Facility Emissions'!T27*INDEX(ConversionTable[Conversion Factor],MATCH(1,(ConversionTable[Source]='2. Facility Emissions'!R27)*(ConversionTable[Original Unit]='2. Facility Emissions'!S27),0))+'2. Facility Emissions'!Y27*INDEX(ConversionTable[Conversion Factor],MATCH(1,(ConversionTable[Source]='2. Facility Emissions'!W27)*(ConversionTable[Original Unit]='2. Facility Emissions'!X27),0))+'2. Facility Emissions'!E50*INDEX(ConversionTable[Conversion Factor],MATCH(1,(ConversionTable[Source]='2. Facility Emissions'!C50)*(ConversionTable[Original Unit]='2. Facility Emissions'!D50),0))+'2. Facility Emissions'!J50*INDEX(ConversionTable[Conversion Factor],MATCH(1,(ConversionTable[Source]='2. Facility Emissions'!H50)*(ConversionTable[Original Unit]='2. Facility Emissions'!I50),0))+'2. Facility Emissions'!O50*INDEX(ConversionTable[Conversion Factor],MATCH(1,(ConversionTable[Source]='2. Facility Emissions'!M50)*(ConversionTable[Original Unit]='2. Facility Emissions'!N50),0))+'2. Facility Emissions'!T50*INDEX(ConversionTable[Conversion Factor],MATCH(1,(ConversionTable[Source]='2. Facility Emissions'!R50)*(ConversionTable[Original Unit]='2. Facility Emissions'!S50),0))+'2. Facility Emissions'!Y50*INDEX(ConversionTable[Conversion Factor],MATCH(1,(ConversionTable[Source]='2. Facility Emissions'!W50)*(ConversionTable[Original Unit]='2. Facility Emissions'!X50),0)))</f>
        <v>0</v>
      </c>
      <c r="D39" s="283">
        <f>DecarbCalcs2050[[#This Row],[Total Values]]*(1-('3. Decarbonization Strategy'!$D$26))</f>
        <v>0</v>
      </c>
      <c r="E39" s="283">
        <f>DecarbCalcs2050[[#This Row],[Energy Efficiency]]*(1-'3. Decarbonization Strategy'!$D$47)</f>
        <v>0</v>
      </c>
      <c r="F39" s="283">
        <f>DecarbCalcs2050[[#This Row],[Electrification]]-DecarbCalcs2050[[#This Row],[Energy Efficiency]]*('3. Decarbonization Strategy'!$D$48)</f>
        <v>0</v>
      </c>
      <c r="G39" s="283">
        <f>DecarbCalcs2050[[#This Row],[Fuel Switching]]</f>
        <v>0</v>
      </c>
      <c r="H39" s="283">
        <f>DecarbCalcs2050[[#This Row],[Onsite]]</f>
        <v>0</v>
      </c>
      <c r="I39" s="283">
        <f>DecarbCalcs2050[[#This Row],[PPAs]]</f>
        <v>0</v>
      </c>
      <c r="J39" s="283">
        <f>DecarbCalcs2050[[#This Row],[Utility Programs]]</f>
        <v>0</v>
      </c>
      <c r="K39" s="283">
        <f>DecarbCalcs2050[[#This Row],[Fuel Switching]]</f>
        <v>0</v>
      </c>
      <c r="L39" s="283"/>
      <c r="S39" s="366" t="s">
        <v>79</v>
      </c>
      <c r="T39" s="365" t="s">
        <v>72</v>
      </c>
      <c r="U39" s="386">
        <f>(DecarbCalcs2050[[#This Row],[Energy Efficiency]]-DecarbCalcs2050[[#This Row],[Total Values]])*EFs!$AB13</f>
        <v>0</v>
      </c>
      <c r="V39" s="385">
        <f>(DecarbCalcs2050[[#This Row],[Electrification]]-DecarbCalcs2050[[#This Row],[Energy Efficiency]])*EFs!$AB13</f>
        <v>0</v>
      </c>
      <c r="W39" s="386">
        <f>(DecarbCalcs2050[[#This Row],[Fuel Switching]]-DecarbCalcs2050[[#This Row],[Electrification]])*EFs!$AB13</f>
        <v>0</v>
      </c>
      <c r="X39" s="385">
        <f>(DecarbCalcs2050[[#This Row],[Onsite]]-DecarbCalcs2050[[#This Row],[Fuel Switching]])*EFs!$AB13</f>
        <v>0</v>
      </c>
      <c r="Y39" s="386">
        <f>(DecarbCalcs2050[[#This Row],[PPAs]]-DecarbCalcs2050[[#This Row],[Onsite]])*EFs!$AB13</f>
        <v>0</v>
      </c>
      <c r="Z39" s="385">
        <f>(DecarbCalcs2050[[#This Row],[Utility Programs]]-DecarbCalcs2050[[#This Row],[PPAs]])*EFs!$AB13</f>
        <v>0</v>
      </c>
      <c r="AA39" s="386">
        <f>(DecarbCalcs2050[[#This Row],[RECs]]-DecarbCalcs2050[[#This Row],[Utility Programs]])*EFs!$AB13</f>
        <v>0</v>
      </c>
      <c r="AB39" s="385">
        <f>(DecarbCalcs2050[[#This Row],[After Renewable Electricity]]-DecarbCalcs2050[[#This Row],[RECs]])*EFs!$AB13</f>
        <v>0</v>
      </c>
      <c r="AC39" s="386"/>
      <c r="AE39" s="366" t="s">
        <v>79</v>
      </c>
      <c r="AF39" s="365" t="s">
        <v>72</v>
      </c>
      <c r="AG39" s="386">
        <f>(DecarbCalcs2050[[#This Row],[Energy Efficiency]]-DecarbCalcs2050[[#This Row],[Total Values]])*EFs!$AC13</f>
        <v>0</v>
      </c>
      <c r="AH39" s="385">
        <f>(DecarbCalcs2050[[#This Row],[Electrification]]-DecarbCalcs2050[[#This Row],[Energy Efficiency]])*EFs!$AC13</f>
        <v>0</v>
      </c>
      <c r="AI39" s="386">
        <f>(DecarbCalcs2050[[#This Row],[Fuel Switching]]-DecarbCalcs2050[[#This Row],[Electrification]])*EFs!$AC13</f>
        <v>0</v>
      </c>
      <c r="AJ39" s="385">
        <f>(DecarbCalcs2050[[#This Row],[Onsite]]-DecarbCalcs2050[[#This Row],[Fuel Switching]])*EFs!$AC13</f>
        <v>0</v>
      </c>
      <c r="AK39" s="386">
        <f>(DecarbCalcs2050[[#This Row],[PPAs]]-DecarbCalcs2050[[#This Row],[Onsite]])*EFs!$AC13</f>
        <v>0</v>
      </c>
      <c r="AL39" s="385">
        <f>(DecarbCalcs2050[[#This Row],[Utility Programs]]-DecarbCalcs2050[[#This Row],[PPAs]])*EFs!$AC13</f>
        <v>0</v>
      </c>
      <c r="AM39" s="386">
        <f>(DecarbCalcs2050[[#This Row],[RECs]]-DecarbCalcs2050[[#This Row],[Utility Programs]])*EFs!$AC13</f>
        <v>0</v>
      </c>
      <c r="AN39" s="385">
        <f>(DecarbCalcs2050[[#This Row],[After Renewable Electricity]]-DecarbCalcs2050[[#This Row],[RECs]])*EFs!$AC13</f>
        <v>0</v>
      </c>
      <c r="AO39" s="386"/>
      <c r="AQ39" s="366" t="s">
        <v>79</v>
      </c>
      <c r="AR39" s="365" t="s">
        <v>72</v>
      </c>
      <c r="AS39" s="386">
        <f>U39*-Assumptions!$G$43</f>
        <v>0</v>
      </c>
      <c r="AT39" s="383">
        <f>(DecarbCalcs2050[[#This Row],[Energy Efficiency]]-DecarbCalcs2050[[#This Row],[Electrification]])/Assumptions!$G$47*Assumptions!$G$49*EFs!Y13*'3. Decarbonization Strategy'!$C$39+(DecarbCalcs2050[[#This Row],[Energy Efficiency]]-DecarbCalcs2050[[#This Row],[Electrification]])/Assumptions!$G$48*Assumptions!$G$51*EFs!Y13*'3. Decarbonization Strategy'!$C$40</f>
        <v>0</v>
      </c>
      <c r="AU39" s="386">
        <f>(DecarbCalcs2050[[#This Row],[Electrification]]-DecarbCalcs2050[[#This Row],[Fuel Switching]])/Assumptions!$G$56*Assumptions!$G$57*EFs!Y13</f>
        <v>0</v>
      </c>
      <c r="AV39" s="385"/>
      <c r="AW39" s="386"/>
      <c r="AX39" s="385"/>
      <c r="AY39" s="386"/>
      <c r="AZ39" s="385"/>
      <c r="BB39" s="366" t="s">
        <v>79</v>
      </c>
      <c r="BC39" s="365" t="s">
        <v>72</v>
      </c>
      <c r="BD39" s="386">
        <f>U39*-Assumptions!$G$44</f>
        <v>0</v>
      </c>
      <c r="BE39" s="383">
        <f>(DecarbCalcs2050[[#This Row],[Energy Efficiency]]-DecarbCalcs2050[[#This Row],[Electrification]])/Assumptions!$G$47*Assumptions!$G$50*'3. Decarbonization Strategy'!$C$39*EFs!Y13+(DecarbCalcs2050[[#This Row],[Energy Efficiency]]-DecarbCalcs2050[[#This Row],[Electrification]])/Assumptions!$G$48*Assumptions!$G$52*'3. Decarbonization Strategy'!$C$40*EFs!Y13</f>
        <v>0</v>
      </c>
      <c r="BF39" s="382">
        <f>(DecarbCalcs2050[[#This Row],[Electrification]]-DecarbCalcs2050[[#This Row],[Fuel Switching]])/Assumptions!$G$56*Assumptions!$G$58*EFs!Y13</f>
        <v>0</v>
      </c>
      <c r="BG39" s="385"/>
      <c r="BH39" s="386"/>
      <c r="BI39" s="385"/>
      <c r="BJ39" s="386"/>
      <c r="BK39" s="385"/>
      <c r="BN39" s="288" t="s">
        <v>142</v>
      </c>
      <c r="BO39" s="421">
        <f t="shared" si="12"/>
        <v>0</v>
      </c>
      <c r="BP39" s="421">
        <f t="shared" si="13"/>
        <v>0</v>
      </c>
      <c r="BQ39" s="422">
        <f t="shared" si="14"/>
        <v>0</v>
      </c>
      <c r="BR39" s="422">
        <f t="shared" si="15"/>
        <v>0</v>
      </c>
      <c r="BS39" s="421">
        <f t="shared" si="16"/>
        <v>0</v>
      </c>
      <c r="BT39" s="421">
        <f t="shared" si="17"/>
        <v>0</v>
      </c>
      <c r="BU39" s="464" t="str">
        <f t="shared" si="18"/>
        <v>None</v>
      </c>
      <c r="BV39" s="341" t="e">
        <f t="shared" si="10"/>
        <v>#NUM!</v>
      </c>
      <c r="BW39" s="421" t="str">
        <f t="shared" si="11"/>
        <v>No expense savings</v>
      </c>
    </row>
    <row r="40" spans="1:75" ht="16.5" customHeight="1" x14ac:dyDescent="0.3">
      <c r="A40" t="s">
        <v>81</v>
      </c>
      <c r="B40" s="25" t="s">
        <v>72</v>
      </c>
      <c r="C40" s="289" cm="1">
        <f t="array" ref="C40">(1+'1. Emissions Forecast'!$C$31)^(2050-'1. Emissions Forecast'!$C$10)*('2. Facility Emissions'!E28*INDEX(ConversionTable[Conversion Factor],MATCH(1,(ConversionTable[Source]='2. Facility Emissions'!C28)*(ConversionTable[Original Unit]='2. Facility Emissions'!D28),0))+'2. Facility Emissions'!J28*INDEX(ConversionTable[Conversion Factor],MATCH(1,(ConversionTable[Source]='2. Facility Emissions'!H28)*(ConversionTable[Original Unit]='2. Facility Emissions'!I28),0))+'2. Facility Emissions'!O28*INDEX(ConversionTable[Conversion Factor],MATCH(1,(ConversionTable[Source]='2. Facility Emissions'!M28)*(ConversionTable[Original Unit]='2. Facility Emissions'!N28),0))+'2. Facility Emissions'!T28*INDEX(ConversionTable[Conversion Factor],MATCH(1,(ConversionTable[Source]='2. Facility Emissions'!R28)*(ConversionTable[Original Unit]='2. Facility Emissions'!S28),0))+'2. Facility Emissions'!Y28*INDEX(ConversionTable[Conversion Factor],MATCH(1,(ConversionTable[Source]='2. Facility Emissions'!W28)*(ConversionTable[Original Unit]='2. Facility Emissions'!X28),0))+'2. Facility Emissions'!E51*INDEX(ConversionTable[Conversion Factor],MATCH(1,(ConversionTable[Source]='2. Facility Emissions'!C51)*(ConversionTable[Original Unit]='2. Facility Emissions'!D51),0))+'2. Facility Emissions'!J51*INDEX(ConversionTable[Conversion Factor],MATCH(1,(ConversionTable[Source]='2. Facility Emissions'!H51)*(ConversionTable[Original Unit]='2. Facility Emissions'!I51),0))+'2. Facility Emissions'!O51*INDEX(ConversionTable[Conversion Factor],MATCH(1,(ConversionTable[Source]='2. Facility Emissions'!M51)*(ConversionTable[Original Unit]='2. Facility Emissions'!N51),0))+'2. Facility Emissions'!T51*INDEX(ConversionTable[Conversion Factor],MATCH(1,(ConversionTable[Source]='2. Facility Emissions'!R51)*(ConversionTable[Original Unit]='2. Facility Emissions'!S51),0))+'2. Facility Emissions'!Y51*INDEX(ConversionTable[Conversion Factor],MATCH(1,(ConversionTable[Source]='2. Facility Emissions'!W51)*(ConversionTable[Original Unit]='2. Facility Emissions'!X51),0)))</f>
        <v>0</v>
      </c>
      <c r="D40" s="283">
        <f>DecarbCalcs2050[[#This Row],[Total Values]]*(1-('3. Decarbonization Strategy'!$D$26))</f>
        <v>0</v>
      </c>
      <c r="E40" s="283">
        <f>DecarbCalcs2050[[#This Row],[Energy Efficiency]]*(1-'3. Decarbonization Strategy'!$D$47)</f>
        <v>0</v>
      </c>
      <c r="F40" s="283">
        <f>DecarbCalcs2050[[#This Row],[Electrification]]-DecarbCalcs2050[[#This Row],[Energy Efficiency]]*('3. Decarbonization Strategy'!$D$48)</f>
        <v>0</v>
      </c>
      <c r="G40" s="283">
        <f>DecarbCalcs2050[[#This Row],[Fuel Switching]]</f>
        <v>0</v>
      </c>
      <c r="H40" s="283">
        <f>DecarbCalcs2050[[#This Row],[Onsite]]</f>
        <v>0</v>
      </c>
      <c r="I40" s="283">
        <f>DecarbCalcs2050[[#This Row],[PPAs]]</f>
        <v>0</v>
      </c>
      <c r="J40" s="283">
        <f>DecarbCalcs2050[[#This Row],[Utility Programs]]</f>
        <v>0</v>
      </c>
      <c r="K40" s="283">
        <f>DecarbCalcs2050[[#This Row],[Fuel Switching]]</f>
        <v>0</v>
      </c>
      <c r="L40" s="283"/>
      <c r="N40" s="345" t="s">
        <v>156</v>
      </c>
      <c r="O40" s="345" t="s">
        <v>157</v>
      </c>
      <c r="P40" s="345" t="s">
        <v>158</v>
      </c>
      <c r="S40" s="367" t="s">
        <v>81</v>
      </c>
      <c r="T40" s="363" t="s">
        <v>72</v>
      </c>
      <c r="U40" s="387">
        <f>(DecarbCalcs2050[[#This Row],[Energy Efficiency]]-DecarbCalcs2050[[#This Row],[Total Values]])*EFs!$AB14</f>
        <v>0</v>
      </c>
      <c r="V40" s="383">
        <f>(DecarbCalcs2050[[#This Row],[Electrification]]-DecarbCalcs2050[[#This Row],[Energy Efficiency]])*EFs!$AB14</f>
        <v>0</v>
      </c>
      <c r="W40" s="387">
        <f>(DecarbCalcs2050[[#This Row],[Fuel Switching]]-DecarbCalcs2050[[#This Row],[Electrification]])*EFs!$AB14</f>
        <v>0</v>
      </c>
      <c r="X40" s="383">
        <f>(DecarbCalcs2050[[#This Row],[Onsite]]-DecarbCalcs2050[[#This Row],[Fuel Switching]])*EFs!$AB14</f>
        <v>0</v>
      </c>
      <c r="Y40" s="387">
        <f>(DecarbCalcs2050[[#This Row],[PPAs]]-DecarbCalcs2050[[#This Row],[Onsite]])*EFs!$AB14</f>
        <v>0</v>
      </c>
      <c r="Z40" s="383">
        <f>(DecarbCalcs2050[[#This Row],[Utility Programs]]-DecarbCalcs2050[[#This Row],[PPAs]])*EFs!$AB14</f>
        <v>0</v>
      </c>
      <c r="AA40" s="387">
        <f>(DecarbCalcs2050[[#This Row],[RECs]]-DecarbCalcs2050[[#This Row],[Utility Programs]])*EFs!$AB14</f>
        <v>0</v>
      </c>
      <c r="AB40" s="383">
        <f>(DecarbCalcs2050[[#This Row],[After Renewable Electricity]]-DecarbCalcs2050[[#This Row],[RECs]])*EFs!$AB14</f>
        <v>0</v>
      </c>
      <c r="AC40" s="387"/>
      <c r="AE40" s="367" t="s">
        <v>81</v>
      </c>
      <c r="AF40" s="363" t="s">
        <v>72</v>
      </c>
      <c r="AG40" s="387">
        <f>(DecarbCalcs2050[[#This Row],[Energy Efficiency]]-DecarbCalcs2050[[#This Row],[Total Values]])*EFs!$AC14</f>
        <v>0</v>
      </c>
      <c r="AH40" s="383">
        <f>(DecarbCalcs2050[[#This Row],[Electrification]]-DecarbCalcs2050[[#This Row],[Energy Efficiency]])*EFs!$AC14</f>
        <v>0</v>
      </c>
      <c r="AI40" s="387">
        <f>(DecarbCalcs2050[[#This Row],[Fuel Switching]]-DecarbCalcs2050[[#This Row],[Electrification]])*EFs!$AC14</f>
        <v>0</v>
      </c>
      <c r="AJ40" s="383">
        <f>(DecarbCalcs2050[[#This Row],[Onsite]]-DecarbCalcs2050[[#This Row],[Fuel Switching]])*EFs!$AC14</f>
        <v>0</v>
      </c>
      <c r="AK40" s="387">
        <f>(DecarbCalcs2050[[#This Row],[PPAs]]-DecarbCalcs2050[[#This Row],[Onsite]])*EFs!$AC14</f>
        <v>0</v>
      </c>
      <c r="AL40" s="383">
        <f>(DecarbCalcs2050[[#This Row],[Utility Programs]]-DecarbCalcs2050[[#This Row],[PPAs]])*EFs!$AC14</f>
        <v>0</v>
      </c>
      <c r="AM40" s="387">
        <f>(DecarbCalcs2050[[#This Row],[RECs]]-DecarbCalcs2050[[#This Row],[Utility Programs]])*EFs!$AC14</f>
        <v>0</v>
      </c>
      <c r="AN40" s="383">
        <f>(DecarbCalcs2050[[#This Row],[After Renewable Electricity]]-DecarbCalcs2050[[#This Row],[RECs]])*EFs!$AC14</f>
        <v>0</v>
      </c>
      <c r="AO40" s="387"/>
      <c r="AQ40" s="367" t="s">
        <v>81</v>
      </c>
      <c r="AR40" s="363" t="s">
        <v>72</v>
      </c>
      <c r="AS40" s="387">
        <f>U40*-Assumptions!$G$43</f>
        <v>0</v>
      </c>
      <c r="AT40" s="383">
        <f>(DecarbCalcs2050[[#This Row],[Energy Efficiency]]-DecarbCalcs2050[[#This Row],[Electrification]])/Assumptions!$G$47*Assumptions!$G$49*EFs!Y14*'3. Decarbonization Strategy'!$C$39+(DecarbCalcs2050[[#This Row],[Energy Efficiency]]-DecarbCalcs2050[[#This Row],[Electrification]])/Assumptions!$G$48*Assumptions!$G$51*EFs!Y14*'3. Decarbonization Strategy'!$C$40</f>
        <v>0</v>
      </c>
      <c r="AU40" s="387">
        <f>(DecarbCalcs2050[[#This Row],[Electrification]]-DecarbCalcs2050[[#This Row],[Fuel Switching]])/Assumptions!$G$56*Assumptions!$G$57*EFs!Y14</f>
        <v>0</v>
      </c>
      <c r="AV40" s="383"/>
      <c r="AW40" s="387"/>
      <c r="AX40" s="383"/>
      <c r="AY40" s="387"/>
      <c r="AZ40" s="383"/>
      <c r="BB40" s="367" t="s">
        <v>81</v>
      </c>
      <c r="BC40" s="363" t="s">
        <v>72</v>
      </c>
      <c r="BD40" s="387">
        <f>U40*-Assumptions!$G$44</f>
        <v>0</v>
      </c>
      <c r="BE40" s="383">
        <f>(DecarbCalcs2050[[#This Row],[Energy Efficiency]]-DecarbCalcs2050[[#This Row],[Electrification]])/Assumptions!$G$47*Assumptions!$G$50*'3. Decarbonization Strategy'!$C$39*EFs!Y14+(DecarbCalcs2050[[#This Row],[Energy Efficiency]]-DecarbCalcs2050[[#This Row],[Electrification]])/Assumptions!$G$48*Assumptions!$G$52*'3. Decarbonization Strategy'!$C$40*EFs!Y14</f>
        <v>0</v>
      </c>
      <c r="BF40" s="382">
        <f>(DecarbCalcs2050[[#This Row],[Electrification]]-DecarbCalcs2050[[#This Row],[Fuel Switching]])/Assumptions!$G$56*Assumptions!$G$58*EFs!Y14</f>
        <v>0</v>
      </c>
      <c r="BG40" s="383"/>
      <c r="BH40" s="387"/>
      <c r="BI40" s="383"/>
      <c r="BJ40" s="387"/>
      <c r="BK40" s="383"/>
      <c r="BN40" s="288" t="s">
        <v>143</v>
      </c>
      <c r="BO40" s="421">
        <f t="shared" si="12"/>
        <v>0</v>
      </c>
      <c r="BP40" s="421">
        <f t="shared" si="13"/>
        <v>0</v>
      </c>
      <c r="BQ40" s="422">
        <f t="shared" si="14"/>
        <v>0</v>
      </c>
      <c r="BR40" s="422">
        <f t="shared" si="15"/>
        <v>0</v>
      </c>
      <c r="BS40" s="421">
        <f t="shared" si="16"/>
        <v>0</v>
      </c>
      <c r="BT40" s="421">
        <f t="shared" si="17"/>
        <v>0</v>
      </c>
      <c r="BU40" s="464" t="str">
        <f t="shared" si="18"/>
        <v>None</v>
      </c>
      <c r="BV40" s="341" t="e">
        <f t="shared" si="10"/>
        <v>#NUM!</v>
      </c>
      <c r="BW40" s="421" t="str">
        <f t="shared" si="11"/>
        <v>No expense savings</v>
      </c>
    </row>
    <row r="41" spans="1:75" ht="16.5" customHeight="1" x14ac:dyDescent="0.3">
      <c r="A41" t="s">
        <v>82</v>
      </c>
      <c r="B41" s="25" t="s">
        <v>72</v>
      </c>
      <c r="C41" s="289" cm="1">
        <f t="array" ref="C41">(1+'1. Emissions Forecast'!$C$31)^(2050-'1. Emissions Forecast'!$C$10)*('2. Facility Emissions'!E29*INDEX(ConversionTable[Conversion Factor],MATCH(1,(ConversionTable[Source]='2. Facility Emissions'!C29)*(ConversionTable[Original Unit]='2. Facility Emissions'!D29),0))+'2. Facility Emissions'!J29*INDEX(ConversionTable[Conversion Factor],MATCH(1,(ConversionTable[Source]='2. Facility Emissions'!H29)*(ConversionTable[Original Unit]='2. Facility Emissions'!I29),0))+'2. Facility Emissions'!O29*INDEX(ConversionTable[Conversion Factor],MATCH(1,(ConversionTable[Source]='2. Facility Emissions'!M29)*(ConversionTable[Original Unit]='2. Facility Emissions'!N29),0))+'2. Facility Emissions'!T29*INDEX(ConversionTable[Conversion Factor],MATCH(1,(ConversionTable[Source]='2. Facility Emissions'!R29)*(ConversionTable[Original Unit]='2. Facility Emissions'!S29),0))+'2. Facility Emissions'!Y29*INDEX(ConversionTable[Conversion Factor],MATCH(1,(ConversionTable[Source]='2. Facility Emissions'!W29)*(ConversionTable[Original Unit]='2. Facility Emissions'!X29),0))+'2. Facility Emissions'!E52*INDEX(ConversionTable[Conversion Factor],MATCH(1,(ConversionTable[Source]='2. Facility Emissions'!C52)*(ConversionTable[Original Unit]='2. Facility Emissions'!D52),0))+'2. Facility Emissions'!J52*INDEX(ConversionTable[Conversion Factor],MATCH(1,(ConversionTable[Source]='2. Facility Emissions'!H52)*(ConversionTable[Original Unit]='2. Facility Emissions'!I52),0))+'2. Facility Emissions'!O52*INDEX(ConversionTable[Conversion Factor],MATCH(1,(ConversionTable[Source]='2. Facility Emissions'!M52)*(ConversionTable[Original Unit]='2. Facility Emissions'!N52),0))+'2. Facility Emissions'!T52*INDEX(ConversionTable[Conversion Factor],MATCH(1,(ConversionTable[Source]='2. Facility Emissions'!R52)*(ConversionTable[Original Unit]='2. Facility Emissions'!S52),0))+'2. Facility Emissions'!Y52*INDEX(ConversionTable[Conversion Factor],MATCH(1,(ConversionTable[Source]='2. Facility Emissions'!W52)*(ConversionTable[Original Unit]='2. Facility Emissions'!X52),0)))</f>
        <v>0</v>
      </c>
      <c r="D41" s="283">
        <f>DecarbCalcs2050[[#This Row],[Total Values]]*(1-('3. Decarbonization Strategy'!$D$26))</f>
        <v>0</v>
      </c>
      <c r="E41" s="283">
        <f>DecarbCalcs2050[[#This Row],[Energy Efficiency]]*(1-'3. Decarbonization Strategy'!$D$47)</f>
        <v>0</v>
      </c>
      <c r="F41" s="283">
        <f>DecarbCalcs2050[[#This Row],[Electrification]]-DecarbCalcs2050[[#This Row],[Energy Efficiency]]*('3. Decarbonization Strategy'!$D$48)</f>
        <v>0</v>
      </c>
      <c r="G41" s="283">
        <f>DecarbCalcs2050[[#This Row],[Fuel Switching]]</f>
        <v>0</v>
      </c>
      <c r="H41" s="283">
        <f>DecarbCalcs2050[[#This Row],[Onsite]]</f>
        <v>0</v>
      </c>
      <c r="I41" s="283">
        <f>DecarbCalcs2050[[#This Row],[PPAs]]</f>
        <v>0</v>
      </c>
      <c r="J41" s="283">
        <f>DecarbCalcs2050[[#This Row],[Utility Programs]]</f>
        <v>0</v>
      </c>
      <c r="K41" s="283">
        <f>DecarbCalcs2050[[#This Row],[Fuel Switching]]</f>
        <v>0</v>
      </c>
      <c r="L41" s="283"/>
      <c r="N41" s="345" t="s">
        <v>160</v>
      </c>
      <c r="O41" s="436" t="e">
        <f t="shared" ref="O41:O49" si="19">P41/SUM($P$41:$P$49)</f>
        <v>#DIV/0!</v>
      </c>
      <c r="P41" s="346">
        <f>IF('3. Decarbonization Strategy'!D99="Yes",Transformation!K52,Transformation!K51)</f>
        <v>0</v>
      </c>
      <c r="S41" s="366" t="s">
        <v>82</v>
      </c>
      <c r="T41" s="365" t="s">
        <v>72</v>
      </c>
      <c r="U41" s="386">
        <f>(DecarbCalcs2050[[#This Row],[Energy Efficiency]]-DecarbCalcs2050[[#This Row],[Total Values]])*EFs!$AB15</f>
        <v>0</v>
      </c>
      <c r="V41" s="385">
        <f>(DecarbCalcs2050[[#This Row],[Electrification]]-DecarbCalcs2050[[#This Row],[Energy Efficiency]])*EFs!$AB15</f>
        <v>0</v>
      </c>
      <c r="W41" s="386">
        <f>(DecarbCalcs2050[[#This Row],[Fuel Switching]]-DecarbCalcs2050[[#This Row],[Electrification]])*EFs!$AB15</f>
        <v>0</v>
      </c>
      <c r="X41" s="385">
        <f>(DecarbCalcs2050[[#This Row],[Onsite]]-DecarbCalcs2050[[#This Row],[Fuel Switching]])*EFs!$AB15</f>
        <v>0</v>
      </c>
      <c r="Y41" s="386">
        <f>(DecarbCalcs2050[[#This Row],[PPAs]]-DecarbCalcs2050[[#This Row],[Onsite]])*EFs!$AB15</f>
        <v>0</v>
      </c>
      <c r="Z41" s="385">
        <f>(DecarbCalcs2050[[#This Row],[Utility Programs]]-DecarbCalcs2050[[#This Row],[PPAs]])*EFs!$AB15</f>
        <v>0</v>
      </c>
      <c r="AA41" s="386">
        <f>(DecarbCalcs2050[[#This Row],[RECs]]-DecarbCalcs2050[[#This Row],[Utility Programs]])*EFs!$AB15</f>
        <v>0</v>
      </c>
      <c r="AB41" s="385">
        <f>(DecarbCalcs2050[[#This Row],[After Renewable Electricity]]-DecarbCalcs2050[[#This Row],[RECs]])*EFs!$AB15</f>
        <v>0</v>
      </c>
      <c r="AC41" s="386"/>
      <c r="AE41" s="366" t="s">
        <v>82</v>
      </c>
      <c r="AF41" s="365" t="s">
        <v>72</v>
      </c>
      <c r="AG41" s="386">
        <f>(DecarbCalcs2050[[#This Row],[Energy Efficiency]]-DecarbCalcs2050[[#This Row],[Total Values]])*EFs!$AC15</f>
        <v>0</v>
      </c>
      <c r="AH41" s="385">
        <f>(DecarbCalcs2050[[#This Row],[Electrification]]-DecarbCalcs2050[[#This Row],[Energy Efficiency]])*EFs!$AC15</f>
        <v>0</v>
      </c>
      <c r="AI41" s="386">
        <f>(DecarbCalcs2050[[#This Row],[Fuel Switching]]-DecarbCalcs2050[[#This Row],[Electrification]])*EFs!$AC15</f>
        <v>0</v>
      </c>
      <c r="AJ41" s="385">
        <f>(DecarbCalcs2050[[#This Row],[Onsite]]-DecarbCalcs2050[[#This Row],[Fuel Switching]])*EFs!$AC15</f>
        <v>0</v>
      </c>
      <c r="AK41" s="386">
        <f>(DecarbCalcs2050[[#This Row],[PPAs]]-DecarbCalcs2050[[#This Row],[Onsite]])*EFs!$AC15</f>
        <v>0</v>
      </c>
      <c r="AL41" s="385">
        <f>(DecarbCalcs2050[[#This Row],[Utility Programs]]-DecarbCalcs2050[[#This Row],[PPAs]])*EFs!$AC15</f>
        <v>0</v>
      </c>
      <c r="AM41" s="386">
        <f>(DecarbCalcs2050[[#This Row],[RECs]]-DecarbCalcs2050[[#This Row],[Utility Programs]])*EFs!$AC15</f>
        <v>0</v>
      </c>
      <c r="AN41" s="385">
        <f>(DecarbCalcs2050[[#This Row],[After Renewable Electricity]]-DecarbCalcs2050[[#This Row],[RECs]])*EFs!$AC15</f>
        <v>0</v>
      </c>
      <c r="AO41" s="386"/>
      <c r="AQ41" s="366" t="s">
        <v>82</v>
      </c>
      <c r="AR41" s="365" t="s">
        <v>72</v>
      </c>
      <c r="AS41" s="386">
        <f>U41*-Assumptions!$G$43</f>
        <v>0</v>
      </c>
      <c r="AT41" s="383">
        <f>(DecarbCalcs2050[[#This Row],[Energy Efficiency]]-DecarbCalcs2050[[#This Row],[Electrification]])/Assumptions!$G$47*Assumptions!$G$49*EFs!Y15*'3. Decarbonization Strategy'!$C$39+(DecarbCalcs2050[[#This Row],[Energy Efficiency]]-DecarbCalcs2050[[#This Row],[Electrification]])/Assumptions!$G$48*Assumptions!$G$51*EFs!Y15*'3. Decarbonization Strategy'!$C$40</f>
        <v>0</v>
      </c>
      <c r="AU41" s="386">
        <f>(DecarbCalcs2050[[#This Row],[Electrification]]-DecarbCalcs2050[[#This Row],[Fuel Switching]])/Assumptions!$G$56*Assumptions!$G$57*EFs!Y15</f>
        <v>0</v>
      </c>
      <c r="AV41" s="385"/>
      <c r="AW41" s="386"/>
      <c r="AX41" s="385"/>
      <c r="AY41" s="386"/>
      <c r="AZ41" s="385"/>
      <c r="BB41" s="366" t="s">
        <v>82</v>
      </c>
      <c r="BC41" s="365" t="s">
        <v>72</v>
      </c>
      <c r="BD41" s="386">
        <f>U41*-Assumptions!$G$44</f>
        <v>0</v>
      </c>
      <c r="BE41" s="383">
        <f>(DecarbCalcs2050[[#This Row],[Energy Efficiency]]-DecarbCalcs2050[[#This Row],[Electrification]])/Assumptions!$G$47*Assumptions!$G$50*'3. Decarbonization Strategy'!$C$39*EFs!Y15+(DecarbCalcs2050[[#This Row],[Energy Efficiency]]-DecarbCalcs2050[[#This Row],[Electrification]])/Assumptions!$G$48*Assumptions!$G$52*'3. Decarbonization Strategy'!$C$40*EFs!Y15</f>
        <v>0</v>
      </c>
      <c r="BF41" s="382">
        <f>(DecarbCalcs2050[[#This Row],[Electrification]]-DecarbCalcs2050[[#This Row],[Fuel Switching]])/Assumptions!$G$56*Assumptions!$G$58*EFs!Y15</f>
        <v>0</v>
      </c>
      <c r="BG41" s="385"/>
      <c r="BH41" s="386"/>
      <c r="BI41" s="385"/>
      <c r="BJ41" s="386"/>
      <c r="BK41" s="385"/>
      <c r="BN41" s="288" t="s">
        <v>144</v>
      </c>
      <c r="BO41" s="421">
        <f t="shared" si="12"/>
        <v>0</v>
      </c>
      <c r="BP41" s="421">
        <f t="shared" si="13"/>
        <v>0</v>
      </c>
      <c r="BQ41" s="422">
        <f t="shared" si="14"/>
        <v>0</v>
      </c>
      <c r="BR41" s="422">
        <f t="shared" si="15"/>
        <v>0</v>
      </c>
      <c r="BS41" s="421">
        <f t="shared" si="16"/>
        <v>0</v>
      </c>
      <c r="BT41" s="421">
        <f t="shared" si="17"/>
        <v>0</v>
      </c>
      <c r="BU41" s="464" t="str">
        <f t="shared" si="18"/>
        <v>None</v>
      </c>
      <c r="BV41" s="341" t="e">
        <f t="shared" si="10"/>
        <v>#NUM!</v>
      </c>
      <c r="BW41" s="421" t="str">
        <f t="shared" si="11"/>
        <v>No expense savings</v>
      </c>
    </row>
    <row r="42" spans="1:75" ht="16.5" customHeight="1" x14ac:dyDescent="0.3">
      <c r="A42" t="s">
        <v>83</v>
      </c>
      <c r="B42" s="25" t="s">
        <v>80</v>
      </c>
      <c r="C42" s="289" cm="1">
        <f t="array" ref="C42">(1+'1. Emissions Forecast'!$C$31)^(2050-'1. Emissions Forecast'!$C$10)*('2. Facility Emissions'!E30*INDEX(ConversionTable[Conversion Factor],MATCH(1,(ConversionTable[Source]='2. Facility Emissions'!C30)*(ConversionTable[Original Unit]='2. Facility Emissions'!D30),0))+'2. Facility Emissions'!J30*INDEX(ConversionTable[Conversion Factor],MATCH(1,(ConversionTable[Source]='2. Facility Emissions'!H30)*(ConversionTable[Original Unit]='2. Facility Emissions'!I30),0))+'2. Facility Emissions'!O30*INDEX(ConversionTable[Conversion Factor],MATCH(1,(ConversionTable[Source]='2. Facility Emissions'!M30)*(ConversionTable[Original Unit]='2. Facility Emissions'!N30),0))+'2. Facility Emissions'!T30*INDEX(ConversionTable[Conversion Factor],MATCH(1,(ConversionTable[Source]='2. Facility Emissions'!R30)*(ConversionTable[Original Unit]='2. Facility Emissions'!S30),0))+'2. Facility Emissions'!Y30*INDEX(ConversionTable[Conversion Factor],MATCH(1,(ConversionTable[Source]='2. Facility Emissions'!W30)*(ConversionTable[Original Unit]='2. Facility Emissions'!X30),0))+'2. Facility Emissions'!E53*INDEX(ConversionTable[Conversion Factor],MATCH(1,(ConversionTable[Source]='2. Facility Emissions'!C53)*(ConversionTable[Original Unit]='2. Facility Emissions'!D53),0))+'2. Facility Emissions'!J53*INDEX(ConversionTable[Conversion Factor],MATCH(1,(ConversionTable[Source]='2. Facility Emissions'!H53)*(ConversionTable[Original Unit]='2. Facility Emissions'!I53),0))+'2. Facility Emissions'!O53*INDEX(ConversionTable[Conversion Factor],MATCH(1,(ConversionTable[Source]='2. Facility Emissions'!M53)*(ConversionTable[Original Unit]='2. Facility Emissions'!N53),0))+'2. Facility Emissions'!T53*INDEX(ConversionTable[Conversion Factor],MATCH(1,(ConversionTable[Source]='2. Facility Emissions'!R53)*(ConversionTable[Original Unit]='2. Facility Emissions'!S53),0))+'2. Facility Emissions'!Y53*INDEX(ConversionTable[Conversion Factor],MATCH(1,(ConversionTable[Source]='2. Facility Emissions'!W53)*(ConversionTable[Original Unit]='2. Facility Emissions'!X53),0)))</f>
        <v>0</v>
      </c>
      <c r="D42" s="283">
        <f>DecarbCalcs2050[[#This Row],[Total Values]]*(1-('3. Decarbonization Strategy'!$D$26))</f>
        <v>0</v>
      </c>
      <c r="E42" s="283">
        <f>DecarbCalcs2050[[#This Row],[Energy Efficiency]]*(1-'3. Decarbonization Strategy'!$D$47)</f>
        <v>0</v>
      </c>
      <c r="F42" s="283">
        <f>DecarbCalcs2050[[#This Row],[Electrification]]-DecarbCalcs2050[[#This Row],[Energy Efficiency]]*('3. Decarbonization Strategy'!$D$48)</f>
        <v>0</v>
      </c>
      <c r="G42" s="283">
        <f>DecarbCalcs2050[[#This Row],[Fuel Switching]]</f>
        <v>0</v>
      </c>
      <c r="H42" s="283">
        <f>DecarbCalcs2050[[#This Row],[Onsite]]</f>
        <v>0</v>
      </c>
      <c r="I42" s="283">
        <f>DecarbCalcs2050[[#This Row],[PPAs]]</f>
        <v>0</v>
      </c>
      <c r="J42" s="283">
        <f>DecarbCalcs2050[[#This Row],[Utility Programs]]</f>
        <v>0</v>
      </c>
      <c r="K42" s="283">
        <f>DecarbCalcs2050[[#This Row],[Fuel Switching]]</f>
        <v>0</v>
      </c>
      <c r="L42" s="283"/>
      <c r="N42" s="345" t="s">
        <v>146</v>
      </c>
      <c r="O42" s="436" t="e">
        <f>P42/SUM($P$41:$P$49)</f>
        <v>#DIV/0!</v>
      </c>
      <c r="P42" s="346">
        <f>IF('3. Decarbonization Strategy'!D99="Yes",Transformation!C51-Transformation!C52,0)</f>
        <v>0</v>
      </c>
      <c r="S42" s="367" t="s">
        <v>83</v>
      </c>
      <c r="T42" s="363" t="s">
        <v>80</v>
      </c>
      <c r="U42" s="387">
        <f>(DecarbCalcs2050[[#This Row],[Energy Efficiency]]-DecarbCalcs2050[[#This Row],[Total Values]])*EFs!$AB16</f>
        <v>0</v>
      </c>
      <c r="V42" s="383">
        <f>(DecarbCalcs2050[[#This Row],[Electrification]]-DecarbCalcs2050[[#This Row],[Energy Efficiency]])*EFs!$AB16</f>
        <v>0</v>
      </c>
      <c r="W42" s="387">
        <f>(DecarbCalcs2050[[#This Row],[Fuel Switching]]-DecarbCalcs2050[[#This Row],[Electrification]])*EFs!$AB16</f>
        <v>0</v>
      </c>
      <c r="X42" s="383">
        <f>(DecarbCalcs2050[[#This Row],[Onsite]]-DecarbCalcs2050[[#This Row],[Fuel Switching]])*EFs!$AB16</f>
        <v>0</v>
      </c>
      <c r="Y42" s="387">
        <f>(DecarbCalcs2050[[#This Row],[PPAs]]-DecarbCalcs2050[[#This Row],[Onsite]])*EFs!$AB16</f>
        <v>0</v>
      </c>
      <c r="Z42" s="383">
        <f>(DecarbCalcs2050[[#This Row],[Utility Programs]]-DecarbCalcs2050[[#This Row],[PPAs]])*EFs!$AB16</f>
        <v>0</v>
      </c>
      <c r="AA42" s="387">
        <f>(DecarbCalcs2050[[#This Row],[RECs]]-DecarbCalcs2050[[#This Row],[Utility Programs]])*EFs!$AB16</f>
        <v>0</v>
      </c>
      <c r="AB42" s="383">
        <f>(DecarbCalcs2050[[#This Row],[After Renewable Electricity]]-DecarbCalcs2050[[#This Row],[RECs]])*EFs!$AB16</f>
        <v>0</v>
      </c>
      <c r="AC42" s="387"/>
      <c r="AE42" s="367" t="s">
        <v>83</v>
      </c>
      <c r="AF42" s="363" t="s">
        <v>80</v>
      </c>
      <c r="AG42" s="387">
        <f>(DecarbCalcs2050[[#This Row],[Energy Efficiency]]-DecarbCalcs2050[[#This Row],[Total Values]])*EFs!$AC16</f>
        <v>0</v>
      </c>
      <c r="AH42" s="383">
        <f>(DecarbCalcs2050[[#This Row],[Electrification]]-DecarbCalcs2050[[#This Row],[Energy Efficiency]])*EFs!$AC16</f>
        <v>0</v>
      </c>
      <c r="AI42" s="387">
        <f>(DecarbCalcs2050[[#This Row],[Fuel Switching]]-DecarbCalcs2050[[#This Row],[Electrification]])*EFs!$AC16</f>
        <v>0</v>
      </c>
      <c r="AJ42" s="383">
        <f>(DecarbCalcs2050[[#This Row],[Onsite]]-DecarbCalcs2050[[#This Row],[Fuel Switching]])*EFs!$AC16</f>
        <v>0</v>
      </c>
      <c r="AK42" s="387">
        <f>(DecarbCalcs2050[[#This Row],[PPAs]]-DecarbCalcs2050[[#This Row],[Onsite]])*EFs!$AC16</f>
        <v>0</v>
      </c>
      <c r="AL42" s="383">
        <f>(DecarbCalcs2050[[#This Row],[Utility Programs]]-DecarbCalcs2050[[#This Row],[PPAs]])*EFs!$AC16</f>
        <v>0</v>
      </c>
      <c r="AM42" s="387">
        <f>(DecarbCalcs2050[[#This Row],[RECs]]-DecarbCalcs2050[[#This Row],[Utility Programs]])*EFs!$AC16</f>
        <v>0</v>
      </c>
      <c r="AN42" s="383">
        <f>(DecarbCalcs2050[[#This Row],[After Renewable Electricity]]-DecarbCalcs2050[[#This Row],[RECs]])*EFs!$AC16</f>
        <v>0</v>
      </c>
      <c r="AO42" s="387"/>
      <c r="AQ42" s="367" t="s">
        <v>83</v>
      </c>
      <c r="AR42" s="363" t="s">
        <v>80</v>
      </c>
      <c r="AS42" s="387">
        <f>U42*-Assumptions!$G$43</f>
        <v>0</v>
      </c>
      <c r="AT42" s="383">
        <f>(DecarbCalcs2050[[#This Row],[Energy Efficiency]]-DecarbCalcs2050[[#This Row],[Electrification]])/Assumptions!$G$47*Assumptions!$G$49*EFs!Y16*'3. Decarbonization Strategy'!$C$39+(DecarbCalcs2050[[#This Row],[Energy Efficiency]]-DecarbCalcs2050[[#This Row],[Electrification]])/Assumptions!$G$48*Assumptions!$G$51*EFs!Y16*'3. Decarbonization Strategy'!$C$40</f>
        <v>0</v>
      </c>
      <c r="AU42" s="387">
        <f>(DecarbCalcs2050[[#This Row],[Electrification]]-DecarbCalcs2050[[#This Row],[Fuel Switching]])/Assumptions!$G$56*Assumptions!$G$57*EFs!Y16</f>
        <v>0</v>
      </c>
      <c r="AV42" s="383"/>
      <c r="AW42" s="387"/>
      <c r="AX42" s="383"/>
      <c r="AY42" s="387"/>
      <c r="AZ42" s="383"/>
      <c r="BB42" s="367" t="s">
        <v>83</v>
      </c>
      <c r="BC42" s="363" t="s">
        <v>80</v>
      </c>
      <c r="BD42" s="387">
        <f>U42*-Assumptions!$G$44</f>
        <v>0</v>
      </c>
      <c r="BE42" s="383">
        <f>(DecarbCalcs2050[[#This Row],[Energy Efficiency]]-DecarbCalcs2050[[#This Row],[Electrification]])/Assumptions!$G$47*Assumptions!$G$50*'3. Decarbonization Strategy'!$C$39*EFs!Y16+(DecarbCalcs2050[[#This Row],[Energy Efficiency]]-DecarbCalcs2050[[#This Row],[Electrification]])/Assumptions!$G$48*Assumptions!$G$52*'3. Decarbonization Strategy'!$C$40*EFs!Y16</f>
        <v>0</v>
      </c>
      <c r="BF42" s="382">
        <f>(DecarbCalcs2050[[#This Row],[Electrification]]-DecarbCalcs2050[[#This Row],[Fuel Switching]])/Assumptions!$G$56*Assumptions!$G$58*EFs!Y16</f>
        <v>0</v>
      </c>
      <c r="BG42" s="383"/>
      <c r="BH42" s="387"/>
      <c r="BI42" s="383"/>
      <c r="BJ42" s="387"/>
      <c r="BK42" s="383"/>
      <c r="BN42" s="425" t="s">
        <v>159</v>
      </c>
      <c r="BO42" s="442">
        <f>IF(ABS(SUM(BO35:BO41))&gt;ABS(SUM(BP35:BP41)),SUM(BP35:BP41),SUM(BO35:BO41))</f>
        <v>0</v>
      </c>
      <c r="BP42" s="442">
        <f>IF(ABS(SUM(BP35:BP41))&lt;ABS(SUM(BO35:BO41)),SUM(BO35:BO41),SUM(BP35:BP41))</f>
        <v>0</v>
      </c>
      <c r="BQ42" s="422">
        <f t="shared" si="14"/>
        <v>0</v>
      </c>
      <c r="BR42" s="422">
        <f t="shared" si="15"/>
        <v>0</v>
      </c>
      <c r="BS42" s="443">
        <f>SUM(BS35:BS41)</f>
        <v>0</v>
      </c>
      <c r="BT42" s="443">
        <f>SUM(BT35:BT41)</f>
        <v>0</v>
      </c>
      <c r="BU42" s="464" t="str">
        <f t="shared" si="18"/>
        <v>None</v>
      </c>
      <c r="BV42" s="341" t="e">
        <f t="shared" si="10"/>
        <v>#NUM!</v>
      </c>
      <c r="BW42" s="443" t="str">
        <f t="shared" si="11"/>
        <v>No expense savings</v>
      </c>
    </row>
    <row r="43" spans="1:75" ht="16.5" customHeight="1" x14ac:dyDescent="0.3">
      <c r="A43" t="s">
        <v>84</v>
      </c>
      <c r="B43" s="25" t="s">
        <v>80</v>
      </c>
      <c r="C43" s="289" cm="1">
        <f t="array" ref="C43">(1+'1. Emissions Forecast'!$C$31)^(2050-'1. Emissions Forecast'!$C$10)*('2. Facility Emissions'!E31*INDEX(ConversionTable[Conversion Factor],MATCH(1,(ConversionTable[Source]='2. Facility Emissions'!C31)*(ConversionTable[Original Unit]='2. Facility Emissions'!D31),0))+'2. Facility Emissions'!J31*INDEX(ConversionTable[Conversion Factor],MATCH(1,(ConversionTable[Source]='2. Facility Emissions'!H31)*(ConversionTable[Original Unit]='2. Facility Emissions'!I31),0))+'2. Facility Emissions'!O31*INDEX(ConversionTable[Conversion Factor],MATCH(1,(ConversionTable[Source]='2. Facility Emissions'!M31)*(ConversionTable[Original Unit]='2. Facility Emissions'!N31),0))+'2. Facility Emissions'!T31*INDEX(ConversionTable[Conversion Factor],MATCH(1,(ConversionTable[Source]='2. Facility Emissions'!R31)*(ConversionTable[Original Unit]='2. Facility Emissions'!S31),0))+'2. Facility Emissions'!Y31*INDEX(ConversionTable[Conversion Factor],MATCH(1,(ConversionTable[Source]='2. Facility Emissions'!W31)*(ConversionTable[Original Unit]='2. Facility Emissions'!X31),0))+'2. Facility Emissions'!E54*INDEX(ConversionTable[Conversion Factor],MATCH(1,(ConversionTable[Source]='2. Facility Emissions'!C54)*(ConversionTable[Original Unit]='2. Facility Emissions'!D54),0))+'2. Facility Emissions'!J54*INDEX(ConversionTable[Conversion Factor],MATCH(1,(ConversionTable[Source]='2. Facility Emissions'!H54)*(ConversionTable[Original Unit]='2. Facility Emissions'!I54),0))+'2. Facility Emissions'!O54*INDEX(ConversionTable[Conversion Factor],MATCH(1,(ConversionTable[Source]='2. Facility Emissions'!M54)*(ConversionTable[Original Unit]='2. Facility Emissions'!N54),0))+'2. Facility Emissions'!T54*INDEX(ConversionTable[Conversion Factor],MATCH(1,(ConversionTable[Source]='2. Facility Emissions'!R54)*(ConversionTable[Original Unit]='2. Facility Emissions'!S54),0))+'2. Facility Emissions'!Y54*INDEX(ConversionTable[Conversion Factor],MATCH(1,(ConversionTable[Source]='2. Facility Emissions'!W54)*(ConversionTable[Original Unit]='2. Facility Emissions'!X54),0)))</f>
        <v>0</v>
      </c>
      <c r="D43" s="283">
        <f>DecarbCalcs2050[[#This Row],[Total Values]]*(1-('3. Decarbonization Strategy'!$D$26))</f>
        <v>0</v>
      </c>
      <c r="E43" s="283">
        <f>DecarbCalcs2050[[#This Row],[Energy Efficiency]]*(1-'3. Decarbonization Strategy'!$D$47)</f>
        <v>0</v>
      </c>
      <c r="F43" s="283">
        <f>DecarbCalcs2050[[#This Row],[Electrification]]-DecarbCalcs2050[[#This Row],[Energy Efficiency]]*('3. Decarbonization Strategy'!$D$48)</f>
        <v>0</v>
      </c>
      <c r="G43" s="283">
        <f>DecarbCalcs2050[[#This Row],[Fuel Switching]]</f>
        <v>0</v>
      </c>
      <c r="H43" s="283">
        <f>DecarbCalcs2050[[#This Row],[Onsite]]</f>
        <v>0</v>
      </c>
      <c r="I43" s="283">
        <f>DecarbCalcs2050[[#This Row],[PPAs]]</f>
        <v>0</v>
      </c>
      <c r="J43" s="283">
        <f>DecarbCalcs2050[[#This Row],[Utility Programs]]</f>
        <v>0</v>
      </c>
      <c r="K43" s="283">
        <f>DecarbCalcs2050[[#This Row],[Fuel Switching]]</f>
        <v>0</v>
      </c>
      <c r="L43" s="283"/>
      <c r="N43" s="345" t="s">
        <v>144</v>
      </c>
      <c r="O43" s="436" t="e">
        <f t="shared" si="19"/>
        <v>#DIV/0!</v>
      </c>
      <c r="P43" s="347">
        <f>IF('3. Decarbonization Strategy'!$D$99="No",Transformation!I51-Transformation!J51,Transformation!I52-Transformation!J52)</f>
        <v>0</v>
      </c>
      <c r="S43" s="366" t="s">
        <v>84</v>
      </c>
      <c r="T43" s="365" t="s">
        <v>80</v>
      </c>
      <c r="U43" s="386">
        <f>(DecarbCalcs2050[[#This Row],[Energy Efficiency]]-DecarbCalcs2050[[#This Row],[Total Values]])*EFs!$AB17</f>
        <v>0</v>
      </c>
      <c r="V43" s="385">
        <f>(DecarbCalcs2050[[#This Row],[Electrification]]-DecarbCalcs2050[[#This Row],[Energy Efficiency]])*EFs!$AB17</f>
        <v>0</v>
      </c>
      <c r="W43" s="386">
        <f>(DecarbCalcs2050[[#This Row],[Fuel Switching]]-DecarbCalcs2050[[#This Row],[Electrification]])*EFs!$AB17</f>
        <v>0</v>
      </c>
      <c r="X43" s="385">
        <f>(DecarbCalcs2050[[#This Row],[Onsite]]-DecarbCalcs2050[[#This Row],[Fuel Switching]])*EFs!$AB17</f>
        <v>0</v>
      </c>
      <c r="Y43" s="386">
        <f>(DecarbCalcs2050[[#This Row],[PPAs]]-DecarbCalcs2050[[#This Row],[Onsite]])*EFs!$AB17</f>
        <v>0</v>
      </c>
      <c r="Z43" s="385">
        <f>(DecarbCalcs2050[[#This Row],[Utility Programs]]-DecarbCalcs2050[[#This Row],[PPAs]])*EFs!$AB17</f>
        <v>0</v>
      </c>
      <c r="AA43" s="386">
        <f>(DecarbCalcs2050[[#This Row],[RECs]]-DecarbCalcs2050[[#This Row],[Utility Programs]])*EFs!$AB17</f>
        <v>0</v>
      </c>
      <c r="AB43" s="385">
        <f>(DecarbCalcs2050[[#This Row],[After Renewable Electricity]]-DecarbCalcs2050[[#This Row],[RECs]])*EFs!$AB17</f>
        <v>0</v>
      </c>
      <c r="AC43" s="386"/>
      <c r="AE43" s="366" t="s">
        <v>84</v>
      </c>
      <c r="AF43" s="365" t="s">
        <v>80</v>
      </c>
      <c r="AG43" s="386">
        <f>(DecarbCalcs2050[[#This Row],[Energy Efficiency]]-DecarbCalcs2050[[#This Row],[Total Values]])*EFs!$AC17</f>
        <v>0</v>
      </c>
      <c r="AH43" s="385">
        <f>(DecarbCalcs2050[[#This Row],[Electrification]]-DecarbCalcs2050[[#This Row],[Energy Efficiency]])*EFs!$AC17</f>
        <v>0</v>
      </c>
      <c r="AI43" s="386">
        <f>(DecarbCalcs2050[[#This Row],[Fuel Switching]]-DecarbCalcs2050[[#This Row],[Electrification]])*EFs!$AC17</f>
        <v>0</v>
      </c>
      <c r="AJ43" s="385">
        <f>(DecarbCalcs2050[[#This Row],[Onsite]]-DecarbCalcs2050[[#This Row],[Fuel Switching]])*EFs!$AC17</f>
        <v>0</v>
      </c>
      <c r="AK43" s="386">
        <f>(DecarbCalcs2050[[#This Row],[PPAs]]-DecarbCalcs2050[[#This Row],[Onsite]])*EFs!$AC17</f>
        <v>0</v>
      </c>
      <c r="AL43" s="385">
        <f>(DecarbCalcs2050[[#This Row],[Utility Programs]]-DecarbCalcs2050[[#This Row],[PPAs]])*EFs!$AC17</f>
        <v>0</v>
      </c>
      <c r="AM43" s="386">
        <f>(DecarbCalcs2050[[#This Row],[RECs]]-DecarbCalcs2050[[#This Row],[Utility Programs]])*EFs!$AC17</f>
        <v>0</v>
      </c>
      <c r="AN43" s="385">
        <f>(DecarbCalcs2050[[#This Row],[After Renewable Electricity]]-DecarbCalcs2050[[#This Row],[RECs]])*EFs!$AC17</f>
        <v>0</v>
      </c>
      <c r="AO43" s="386"/>
      <c r="AQ43" s="366" t="s">
        <v>84</v>
      </c>
      <c r="AR43" s="365" t="s">
        <v>80</v>
      </c>
      <c r="AS43" s="386">
        <f>U43*-Assumptions!$G$43</f>
        <v>0</v>
      </c>
      <c r="AT43" s="383">
        <f>(DecarbCalcs2050[[#This Row],[Energy Efficiency]]-DecarbCalcs2050[[#This Row],[Electrification]])/Assumptions!$G$47*Assumptions!$G$49*EFs!Y17*'3. Decarbonization Strategy'!$C$39+(DecarbCalcs2050[[#This Row],[Energy Efficiency]]-DecarbCalcs2050[[#This Row],[Electrification]])/Assumptions!$G$48*Assumptions!$G$51*EFs!Y17*'3. Decarbonization Strategy'!$C$40</f>
        <v>0</v>
      </c>
      <c r="AU43" s="386">
        <f>(DecarbCalcs2050[[#This Row],[Electrification]]-DecarbCalcs2050[[#This Row],[Fuel Switching]])/Assumptions!$G$56*Assumptions!$G$57*EFs!Y17</f>
        <v>0</v>
      </c>
      <c r="AV43" s="385"/>
      <c r="AW43" s="386"/>
      <c r="AX43" s="385"/>
      <c r="AY43" s="386"/>
      <c r="AZ43" s="385"/>
      <c r="BB43" s="366" t="s">
        <v>84</v>
      </c>
      <c r="BC43" s="365" t="s">
        <v>80</v>
      </c>
      <c r="BD43" s="386">
        <f>U43*-Assumptions!$G$44</f>
        <v>0</v>
      </c>
      <c r="BE43" s="383">
        <f>(DecarbCalcs2050[[#This Row],[Energy Efficiency]]-DecarbCalcs2050[[#This Row],[Electrification]])/Assumptions!$G$47*Assumptions!$G$50*'3. Decarbonization Strategy'!$C$39*EFs!Y17+(DecarbCalcs2050[[#This Row],[Energy Efficiency]]-DecarbCalcs2050[[#This Row],[Electrification]])/Assumptions!$G$48*Assumptions!$G$52*'3. Decarbonization Strategy'!$C$40*EFs!Y17</f>
        <v>0</v>
      </c>
      <c r="BF43" s="382">
        <f>(DecarbCalcs2050[[#This Row],[Electrification]]-DecarbCalcs2050[[#This Row],[Fuel Switching]])/Assumptions!$G$56*Assumptions!$G$58*EFs!Y17</f>
        <v>0</v>
      </c>
      <c r="BG43" s="385"/>
      <c r="BH43" s="386"/>
      <c r="BI43" s="385"/>
      <c r="BJ43" s="386"/>
      <c r="BK43" s="385"/>
    </row>
    <row r="44" spans="1:75" ht="16.5" customHeight="1" x14ac:dyDescent="0.3">
      <c r="A44" t="s">
        <v>85</v>
      </c>
      <c r="B44" s="25" t="s">
        <v>80</v>
      </c>
      <c r="C44" s="289" cm="1">
        <f t="array" ref="C44">(1+'1. Emissions Forecast'!$C$31)^(2050-'1. Emissions Forecast'!$C$10)*('2. Facility Emissions'!E32*INDEX(ConversionTable[Conversion Factor],MATCH(1,(ConversionTable[Source]='2. Facility Emissions'!C32)*(ConversionTable[Original Unit]='2. Facility Emissions'!D32),0))+'2. Facility Emissions'!J32*INDEX(ConversionTable[Conversion Factor],MATCH(1,(ConversionTable[Source]='2. Facility Emissions'!H32)*(ConversionTable[Original Unit]='2. Facility Emissions'!I32),0))+'2. Facility Emissions'!O32*INDEX(ConversionTable[Conversion Factor],MATCH(1,(ConversionTable[Source]='2. Facility Emissions'!M32)*(ConversionTable[Original Unit]='2. Facility Emissions'!N32),0))+'2. Facility Emissions'!T32*INDEX(ConversionTable[Conversion Factor],MATCH(1,(ConversionTable[Source]='2. Facility Emissions'!R32)*(ConversionTable[Original Unit]='2. Facility Emissions'!S32),0))+'2. Facility Emissions'!Y32*INDEX(ConversionTable[Conversion Factor],MATCH(1,(ConversionTable[Source]='2. Facility Emissions'!W32)*(ConversionTable[Original Unit]='2. Facility Emissions'!X32),0))+'2. Facility Emissions'!E55*INDEX(ConversionTable[Conversion Factor],MATCH(1,(ConversionTable[Source]='2. Facility Emissions'!C55)*(ConversionTable[Original Unit]='2. Facility Emissions'!D55),0))+'2. Facility Emissions'!J55*INDEX(ConversionTable[Conversion Factor],MATCH(1,(ConversionTable[Source]='2. Facility Emissions'!H55)*(ConversionTable[Original Unit]='2. Facility Emissions'!I55),0))+'2. Facility Emissions'!O55*INDEX(ConversionTable[Conversion Factor],MATCH(1,(ConversionTable[Source]='2. Facility Emissions'!M55)*(ConversionTable[Original Unit]='2. Facility Emissions'!N55),0))+'2. Facility Emissions'!T55*INDEX(ConversionTable[Conversion Factor],MATCH(1,(ConversionTable[Source]='2. Facility Emissions'!R55)*(ConversionTable[Original Unit]='2. Facility Emissions'!S55),0))+'2. Facility Emissions'!Y55*INDEX(ConversionTable[Conversion Factor],MATCH(1,(ConversionTable[Source]='2. Facility Emissions'!W55)*(ConversionTable[Original Unit]='2. Facility Emissions'!X55),0)))</f>
        <v>0</v>
      </c>
      <c r="D44" s="283">
        <f>DecarbCalcs2050[[#This Row],[Total Values]]*(1-('3. Decarbonization Strategy'!$D$26))</f>
        <v>0</v>
      </c>
      <c r="E44" s="283">
        <f>DecarbCalcs2050[[#This Row],[Energy Efficiency]]*(1-'3. Decarbonization Strategy'!$D$47)</f>
        <v>0</v>
      </c>
      <c r="F44" s="283">
        <f>DecarbCalcs2050[[#This Row],[Electrification]]-DecarbCalcs2050[[#This Row],[Energy Efficiency]]*('3. Decarbonization Strategy'!$D$48)</f>
        <v>0</v>
      </c>
      <c r="G44" s="283">
        <f>DecarbCalcs2050[[#This Row],[Fuel Switching]]</f>
        <v>0</v>
      </c>
      <c r="H44" s="283">
        <f>DecarbCalcs2050[[#This Row],[Onsite]]</f>
        <v>0</v>
      </c>
      <c r="I44" s="283">
        <f>DecarbCalcs2050[[#This Row],[PPAs]]</f>
        <v>0</v>
      </c>
      <c r="J44" s="283">
        <f>DecarbCalcs2050[[#This Row],[Utility Programs]]</f>
        <v>0</v>
      </c>
      <c r="K44" s="283">
        <f>DecarbCalcs2050[[#This Row],[Fuel Switching]]</f>
        <v>0</v>
      </c>
      <c r="L44" s="283"/>
      <c r="N44" s="345" t="s">
        <v>143</v>
      </c>
      <c r="O44" s="436" t="e">
        <f t="shared" si="19"/>
        <v>#DIV/0!</v>
      </c>
      <c r="P44" s="347">
        <f>IF('3. Decarbonization Strategy'!$D$99="No",Transformation!H51-Transformation!I51,Transformation!H52-Transformation!I52)</f>
        <v>0</v>
      </c>
      <c r="S44" s="367" t="s">
        <v>85</v>
      </c>
      <c r="T44" s="363" t="s">
        <v>80</v>
      </c>
      <c r="U44" s="387">
        <f>(DecarbCalcs2050[[#This Row],[Energy Efficiency]]-DecarbCalcs2050[[#This Row],[Total Values]])*EFs!$AB18</f>
        <v>0</v>
      </c>
      <c r="V44" s="383">
        <f>(DecarbCalcs2050[[#This Row],[Electrification]]-DecarbCalcs2050[[#This Row],[Energy Efficiency]])*EFs!$AB18</f>
        <v>0</v>
      </c>
      <c r="W44" s="387">
        <f>(DecarbCalcs2050[[#This Row],[Fuel Switching]]-DecarbCalcs2050[[#This Row],[Electrification]])*EFs!$AB18</f>
        <v>0</v>
      </c>
      <c r="X44" s="383">
        <f>(DecarbCalcs2050[[#This Row],[Onsite]]-DecarbCalcs2050[[#This Row],[Fuel Switching]])*EFs!$AB18</f>
        <v>0</v>
      </c>
      <c r="Y44" s="387">
        <f>(DecarbCalcs2050[[#This Row],[PPAs]]-DecarbCalcs2050[[#This Row],[Onsite]])*EFs!$AB18</f>
        <v>0</v>
      </c>
      <c r="Z44" s="383">
        <f>(DecarbCalcs2050[[#This Row],[Utility Programs]]-DecarbCalcs2050[[#This Row],[PPAs]])*EFs!$AB18</f>
        <v>0</v>
      </c>
      <c r="AA44" s="387">
        <f>(DecarbCalcs2050[[#This Row],[RECs]]-DecarbCalcs2050[[#This Row],[Utility Programs]])*EFs!$AB18</f>
        <v>0</v>
      </c>
      <c r="AB44" s="383">
        <f>(DecarbCalcs2050[[#This Row],[After Renewable Electricity]]-DecarbCalcs2050[[#This Row],[RECs]])*EFs!$AB18</f>
        <v>0</v>
      </c>
      <c r="AC44" s="387"/>
      <c r="AE44" s="367" t="s">
        <v>85</v>
      </c>
      <c r="AF44" s="363" t="s">
        <v>80</v>
      </c>
      <c r="AG44" s="387">
        <f>(DecarbCalcs2050[[#This Row],[Energy Efficiency]]-DecarbCalcs2050[[#This Row],[Total Values]])*EFs!$AC18</f>
        <v>0</v>
      </c>
      <c r="AH44" s="383">
        <f>(DecarbCalcs2050[[#This Row],[Electrification]]-DecarbCalcs2050[[#This Row],[Energy Efficiency]])*EFs!$AC18</f>
        <v>0</v>
      </c>
      <c r="AI44" s="387">
        <f>(DecarbCalcs2050[[#This Row],[Fuel Switching]]-DecarbCalcs2050[[#This Row],[Electrification]])*EFs!$AC18</f>
        <v>0</v>
      </c>
      <c r="AJ44" s="383">
        <f>(DecarbCalcs2050[[#This Row],[Onsite]]-DecarbCalcs2050[[#This Row],[Fuel Switching]])*EFs!$AC18</f>
        <v>0</v>
      </c>
      <c r="AK44" s="387">
        <f>(DecarbCalcs2050[[#This Row],[PPAs]]-DecarbCalcs2050[[#This Row],[Onsite]])*EFs!$AC18</f>
        <v>0</v>
      </c>
      <c r="AL44" s="383">
        <f>(DecarbCalcs2050[[#This Row],[Utility Programs]]-DecarbCalcs2050[[#This Row],[PPAs]])*EFs!$AC18</f>
        <v>0</v>
      </c>
      <c r="AM44" s="387">
        <f>(DecarbCalcs2050[[#This Row],[RECs]]-DecarbCalcs2050[[#This Row],[Utility Programs]])*EFs!$AC18</f>
        <v>0</v>
      </c>
      <c r="AN44" s="383">
        <f>(DecarbCalcs2050[[#This Row],[After Renewable Electricity]]-DecarbCalcs2050[[#This Row],[RECs]])*EFs!$AC18</f>
        <v>0</v>
      </c>
      <c r="AO44" s="387"/>
      <c r="AQ44" s="367" t="s">
        <v>85</v>
      </c>
      <c r="AR44" s="363" t="s">
        <v>80</v>
      </c>
      <c r="AS44" s="387">
        <f>U44*-Assumptions!$G$43</f>
        <v>0</v>
      </c>
      <c r="AT44" s="383">
        <f>(DecarbCalcs2050[[#This Row],[Energy Efficiency]]-DecarbCalcs2050[[#This Row],[Electrification]])/Assumptions!$G$47*Assumptions!$G$49*EFs!Y18*'3. Decarbonization Strategy'!$C$39+(DecarbCalcs2050[[#This Row],[Energy Efficiency]]-DecarbCalcs2050[[#This Row],[Electrification]])/Assumptions!$G$48*Assumptions!$G$51*EFs!Y18*'3. Decarbonization Strategy'!$C$40</f>
        <v>0</v>
      </c>
      <c r="AU44" s="387">
        <f>(DecarbCalcs2050[[#This Row],[Electrification]]-DecarbCalcs2050[[#This Row],[Fuel Switching]])/Assumptions!$G$56*Assumptions!$G$57*EFs!Y18</f>
        <v>0</v>
      </c>
      <c r="AV44" s="383"/>
      <c r="AW44" s="387"/>
      <c r="AX44" s="383"/>
      <c r="AY44" s="387"/>
      <c r="AZ44" s="383"/>
      <c r="BB44" s="367" t="s">
        <v>85</v>
      </c>
      <c r="BC44" s="363" t="s">
        <v>80</v>
      </c>
      <c r="BD44" s="387">
        <f>U44*-Assumptions!$G$44</f>
        <v>0</v>
      </c>
      <c r="BE44" s="383">
        <f>(DecarbCalcs2050[[#This Row],[Energy Efficiency]]-DecarbCalcs2050[[#This Row],[Electrification]])/Assumptions!$G$47*Assumptions!$G$50*'3. Decarbonization Strategy'!$C$39*EFs!Y18+(DecarbCalcs2050[[#This Row],[Energy Efficiency]]-DecarbCalcs2050[[#This Row],[Electrification]])/Assumptions!$G$48*Assumptions!$G$52*'3. Decarbonization Strategy'!$C$40*EFs!Y18</f>
        <v>0</v>
      </c>
      <c r="BF44" s="382">
        <f>(DecarbCalcs2050[[#This Row],[Electrification]]-DecarbCalcs2050[[#This Row],[Fuel Switching]])/Assumptions!$G$56*Assumptions!$G$58*EFs!Y18</f>
        <v>0</v>
      </c>
      <c r="BG44" s="383"/>
      <c r="BH44" s="387"/>
      <c r="BI44" s="383"/>
      <c r="BJ44" s="387"/>
      <c r="BK44" s="383"/>
    </row>
    <row r="45" spans="1:75" ht="16.5" customHeight="1" x14ac:dyDescent="0.3">
      <c r="A45" t="s">
        <v>86</v>
      </c>
      <c r="B45" s="25" t="s">
        <v>80</v>
      </c>
      <c r="C45" s="289" cm="1">
        <f t="array" ref="C45">(1+'1. Emissions Forecast'!$C$31)^(2050-'1. Emissions Forecast'!$C$10)*('2. Facility Emissions'!E33*INDEX(ConversionTable[Conversion Factor],MATCH(1,(ConversionTable[Source]='2. Facility Emissions'!C33)*(ConversionTable[Original Unit]='2. Facility Emissions'!D33),0))+'2. Facility Emissions'!J33*INDEX(ConversionTable[Conversion Factor],MATCH(1,(ConversionTable[Source]='2. Facility Emissions'!H33)*(ConversionTable[Original Unit]='2. Facility Emissions'!I33),0))+'2. Facility Emissions'!O33*INDEX(ConversionTable[Conversion Factor],MATCH(1,(ConversionTable[Source]='2. Facility Emissions'!M33)*(ConversionTable[Original Unit]='2. Facility Emissions'!N33),0))+'2. Facility Emissions'!T33*INDEX(ConversionTable[Conversion Factor],MATCH(1,(ConversionTable[Source]='2. Facility Emissions'!R33)*(ConversionTable[Original Unit]='2. Facility Emissions'!S33),0))+'2. Facility Emissions'!Y33*INDEX(ConversionTable[Conversion Factor],MATCH(1,(ConversionTable[Source]='2. Facility Emissions'!W33)*(ConversionTable[Original Unit]='2. Facility Emissions'!X33),0))+'2. Facility Emissions'!E56*INDEX(ConversionTable[Conversion Factor],MATCH(1,(ConversionTable[Source]='2. Facility Emissions'!C56)*(ConversionTable[Original Unit]='2. Facility Emissions'!D56),0))+'2. Facility Emissions'!J56*INDEX(ConversionTable[Conversion Factor],MATCH(1,(ConversionTable[Source]='2. Facility Emissions'!H56)*(ConversionTable[Original Unit]='2. Facility Emissions'!I56),0))+'2. Facility Emissions'!O56*INDEX(ConversionTable[Conversion Factor],MATCH(1,(ConversionTable[Source]='2. Facility Emissions'!M56)*(ConversionTable[Original Unit]='2. Facility Emissions'!N56),0))+'2. Facility Emissions'!T56*INDEX(ConversionTable[Conversion Factor],MATCH(1,(ConversionTable[Source]='2. Facility Emissions'!R56)*(ConversionTable[Original Unit]='2. Facility Emissions'!S56),0))+'2. Facility Emissions'!Y56*INDEX(ConversionTable[Conversion Factor],MATCH(1,(ConversionTable[Source]='2. Facility Emissions'!W56)*(ConversionTable[Original Unit]='2. Facility Emissions'!X56),0)))</f>
        <v>0</v>
      </c>
      <c r="D45" s="283">
        <f>DecarbCalcs2050[[#This Row],[Total Values]]*(1-('3. Decarbonization Strategy'!$D$26))</f>
        <v>0</v>
      </c>
      <c r="E45" s="283">
        <f>DecarbCalcs2050[[#This Row],[Energy Efficiency]]*(1-'3. Decarbonization Strategy'!$D$47)</f>
        <v>0</v>
      </c>
      <c r="F45" s="283">
        <f>DecarbCalcs2050[[#This Row],[Electrification]]-DecarbCalcs2050[[#This Row],[Energy Efficiency]]*('3. Decarbonization Strategy'!$D$48)</f>
        <v>0</v>
      </c>
      <c r="G45" s="283">
        <f>DecarbCalcs2050[[#This Row],[Fuel Switching]]</f>
        <v>0</v>
      </c>
      <c r="H45" s="283">
        <f>DecarbCalcs2050[[#This Row],[Onsite]]</f>
        <v>0</v>
      </c>
      <c r="I45" s="283">
        <f>DecarbCalcs2050[[#This Row],[PPAs]]</f>
        <v>0</v>
      </c>
      <c r="J45" s="283">
        <f>DecarbCalcs2050[[#This Row],[Utility Programs]]</f>
        <v>0</v>
      </c>
      <c r="K45" s="283">
        <f>DecarbCalcs2050[[#This Row],[Fuel Switching]]</f>
        <v>0</v>
      </c>
      <c r="L45" s="283"/>
      <c r="N45" s="345" t="s">
        <v>142</v>
      </c>
      <c r="O45" s="436" t="e">
        <f t="shared" si="19"/>
        <v>#DIV/0!</v>
      </c>
      <c r="P45" s="347">
        <f>IF('3. Decarbonization Strategy'!$D$99="No",Transformation!G51-Transformation!H51,Transformation!G52-Transformation!H52)</f>
        <v>0</v>
      </c>
      <c r="S45" s="366" t="s">
        <v>86</v>
      </c>
      <c r="T45" s="365" t="s">
        <v>80</v>
      </c>
      <c r="U45" s="386">
        <f>(DecarbCalcs2050[[#This Row],[Energy Efficiency]]-DecarbCalcs2050[[#This Row],[Total Values]])*EFs!$AB19</f>
        <v>0</v>
      </c>
      <c r="V45" s="385">
        <f>(DecarbCalcs2050[[#This Row],[Electrification]]-DecarbCalcs2050[[#This Row],[Energy Efficiency]])*EFs!$AB19</f>
        <v>0</v>
      </c>
      <c r="W45" s="386">
        <f>(DecarbCalcs2050[[#This Row],[Fuel Switching]]-DecarbCalcs2050[[#This Row],[Electrification]])*EFs!$AB19</f>
        <v>0</v>
      </c>
      <c r="X45" s="385">
        <f>(DecarbCalcs2050[[#This Row],[Onsite]]-DecarbCalcs2050[[#This Row],[Fuel Switching]])*EFs!$AB19</f>
        <v>0</v>
      </c>
      <c r="Y45" s="386">
        <f>(DecarbCalcs2050[[#This Row],[PPAs]]-DecarbCalcs2050[[#This Row],[Onsite]])*EFs!$AB19</f>
        <v>0</v>
      </c>
      <c r="Z45" s="385">
        <f>(DecarbCalcs2050[[#This Row],[Utility Programs]]-DecarbCalcs2050[[#This Row],[PPAs]])*EFs!$AB19</f>
        <v>0</v>
      </c>
      <c r="AA45" s="386">
        <f>(DecarbCalcs2050[[#This Row],[RECs]]-DecarbCalcs2050[[#This Row],[Utility Programs]])*EFs!$AB19</f>
        <v>0</v>
      </c>
      <c r="AB45" s="385">
        <f>(DecarbCalcs2050[[#This Row],[After Renewable Electricity]]-DecarbCalcs2050[[#This Row],[RECs]])*EFs!$AB19</f>
        <v>0</v>
      </c>
      <c r="AC45" s="386"/>
      <c r="AE45" s="366" t="s">
        <v>86</v>
      </c>
      <c r="AF45" s="365" t="s">
        <v>80</v>
      </c>
      <c r="AG45" s="386">
        <f>(DecarbCalcs2050[[#This Row],[Energy Efficiency]]-DecarbCalcs2050[[#This Row],[Total Values]])*EFs!$AC19</f>
        <v>0</v>
      </c>
      <c r="AH45" s="385">
        <f>(DecarbCalcs2050[[#This Row],[Electrification]]-DecarbCalcs2050[[#This Row],[Energy Efficiency]])*EFs!$AC19</f>
        <v>0</v>
      </c>
      <c r="AI45" s="386">
        <f>(DecarbCalcs2050[[#This Row],[Fuel Switching]]-DecarbCalcs2050[[#This Row],[Electrification]])*EFs!$AC19</f>
        <v>0</v>
      </c>
      <c r="AJ45" s="385">
        <f>(DecarbCalcs2050[[#This Row],[Onsite]]-DecarbCalcs2050[[#This Row],[Fuel Switching]])*EFs!$AC19</f>
        <v>0</v>
      </c>
      <c r="AK45" s="386">
        <f>(DecarbCalcs2050[[#This Row],[PPAs]]-DecarbCalcs2050[[#This Row],[Onsite]])*EFs!$AC19</f>
        <v>0</v>
      </c>
      <c r="AL45" s="385">
        <f>(DecarbCalcs2050[[#This Row],[Utility Programs]]-DecarbCalcs2050[[#This Row],[PPAs]])*EFs!$AC19</f>
        <v>0</v>
      </c>
      <c r="AM45" s="386">
        <f>(DecarbCalcs2050[[#This Row],[RECs]]-DecarbCalcs2050[[#This Row],[Utility Programs]])*EFs!$AC19</f>
        <v>0</v>
      </c>
      <c r="AN45" s="385">
        <f>(DecarbCalcs2050[[#This Row],[After Renewable Electricity]]-DecarbCalcs2050[[#This Row],[RECs]])*EFs!$AC19</f>
        <v>0</v>
      </c>
      <c r="AO45" s="386"/>
      <c r="AQ45" s="366" t="s">
        <v>86</v>
      </c>
      <c r="AR45" s="365" t="s">
        <v>80</v>
      </c>
      <c r="AS45" s="386">
        <f>U45*-Assumptions!$G$43</f>
        <v>0</v>
      </c>
      <c r="AT45" s="383">
        <f>(DecarbCalcs2050[[#This Row],[Energy Efficiency]]-DecarbCalcs2050[[#This Row],[Electrification]])/Assumptions!$G$47*Assumptions!$G$49*EFs!Y19*'3. Decarbonization Strategy'!$C$39+(DecarbCalcs2050[[#This Row],[Energy Efficiency]]-DecarbCalcs2050[[#This Row],[Electrification]])/Assumptions!$G$48*Assumptions!$G$51*EFs!Y19*'3. Decarbonization Strategy'!$C$40</f>
        <v>0</v>
      </c>
      <c r="AU45" s="386">
        <f>(DecarbCalcs2050[[#This Row],[Electrification]]-DecarbCalcs2050[[#This Row],[Fuel Switching]])/Assumptions!$G$56*Assumptions!$G$57*EFs!Y19</f>
        <v>0</v>
      </c>
      <c r="AV45" s="385"/>
      <c r="AW45" s="386"/>
      <c r="AX45" s="385"/>
      <c r="AY45" s="386"/>
      <c r="AZ45" s="385"/>
      <c r="BB45" s="366" t="s">
        <v>86</v>
      </c>
      <c r="BC45" s="365" t="s">
        <v>80</v>
      </c>
      <c r="BD45" s="386">
        <f>U45*-Assumptions!$G$44</f>
        <v>0</v>
      </c>
      <c r="BE45" s="383">
        <f>(DecarbCalcs2050[[#This Row],[Energy Efficiency]]-DecarbCalcs2050[[#This Row],[Electrification]])/Assumptions!$G$47*Assumptions!$G$50*'3. Decarbonization Strategy'!$C$39*EFs!Y19+(DecarbCalcs2050[[#This Row],[Energy Efficiency]]-DecarbCalcs2050[[#This Row],[Electrification]])/Assumptions!$G$48*Assumptions!$G$52*'3. Decarbonization Strategy'!$C$40*EFs!Y19</f>
        <v>0</v>
      </c>
      <c r="BF45" s="382">
        <f>(DecarbCalcs2050[[#This Row],[Electrification]]-DecarbCalcs2050[[#This Row],[Fuel Switching]])/Assumptions!$G$56*Assumptions!$G$58*EFs!Y19</f>
        <v>0</v>
      </c>
      <c r="BG45" s="385"/>
      <c r="BH45" s="386"/>
      <c r="BI45" s="385"/>
      <c r="BJ45" s="386"/>
      <c r="BK45" s="385"/>
    </row>
    <row r="46" spans="1:75" ht="16.5" customHeight="1" x14ac:dyDescent="0.3">
      <c r="A46" t="s">
        <v>87</v>
      </c>
      <c r="B46" s="25" t="s">
        <v>80</v>
      </c>
      <c r="C46" s="289" cm="1">
        <f t="array" ref="C46">(1+'1. Emissions Forecast'!$C$31)^(2050-'1. Emissions Forecast'!$C$10)*('2. Facility Emissions'!E34*INDEX(ConversionTable[Conversion Factor],MATCH(1,(ConversionTable[Source]='2. Facility Emissions'!C34)*(ConversionTable[Original Unit]='2. Facility Emissions'!D34),0))+'2. Facility Emissions'!J34*INDEX(ConversionTable[Conversion Factor],MATCH(1,(ConversionTable[Source]='2. Facility Emissions'!H34)*(ConversionTable[Original Unit]='2. Facility Emissions'!I34),0))+'2. Facility Emissions'!O34*INDEX(ConversionTable[Conversion Factor],MATCH(1,(ConversionTable[Source]='2. Facility Emissions'!M34)*(ConversionTable[Original Unit]='2. Facility Emissions'!N34),0))+'2. Facility Emissions'!T34*INDEX(ConversionTable[Conversion Factor],MATCH(1,(ConversionTable[Source]='2. Facility Emissions'!R34)*(ConversionTable[Original Unit]='2. Facility Emissions'!S34),0))+'2. Facility Emissions'!Y34*INDEX(ConversionTable[Conversion Factor],MATCH(1,(ConversionTable[Source]='2. Facility Emissions'!W34)*(ConversionTable[Original Unit]='2. Facility Emissions'!X34),0))+'2. Facility Emissions'!E57*INDEX(ConversionTable[Conversion Factor],MATCH(1,(ConversionTable[Source]='2. Facility Emissions'!C57)*(ConversionTable[Original Unit]='2. Facility Emissions'!D57),0))+'2. Facility Emissions'!J57*INDEX(ConversionTable[Conversion Factor],MATCH(1,(ConversionTable[Source]='2. Facility Emissions'!H57)*(ConversionTable[Original Unit]='2. Facility Emissions'!I57),0))+'2. Facility Emissions'!O57*INDEX(ConversionTable[Conversion Factor],MATCH(1,(ConversionTable[Source]='2. Facility Emissions'!M57)*(ConversionTable[Original Unit]='2. Facility Emissions'!N57),0))+'2. Facility Emissions'!T57*INDEX(ConversionTable[Conversion Factor],MATCH(1,(ConversionTable[Source]='2. Facility Emissions'!R57)*(ConversionTable[Original Unit]='2. Facility Emissions'!S57),0))+'2. Facility Emissions'!Y57*INDEX(ConversionTable[Conversion Factor],MATCH(1,(ConversionTable[Source]='2. Facility Emissions'!W57)*(ConversionTable[Original Unit]='2. Facility Emissions'!X57),0)))</f>
        <v>0</v>
      </c>
      <c r="D46" s="283">
        <f>DecarbCalcs2050[[#This Row],[Total Values]]*(1-('3. Decarbonization Strategy'!$D$26))</f>
        <v>0</v>
      </c>
      <c r="E46" s="283">
        <f>DecarbCalcs2050[[#This Row],[Energy Efficiency]]*(1-'3. Decarbonization Strategy'!$D$47)</f>
        <v>0</v>
      </c>
      <c r="F46" s="283">
        <f>DecarbCalcs2050[[#This Row],[Electrification]]-DecarbCalcs2050[[#This Row],[Energy Efficiency]]*('3. Decarbonization Strategy'!$D$48)</f>
        <v>0</v>
      </c>
      <c r="G46" s="283">
        <f>DecarbCalcs2050[[#This Row],[Fuel Switching]]</f>
        <v>0</v>
      </c>
      <c r="H46" s="283">
        <f>DecarbCalcs2050[[#This Row],[Onsite]]</f>
        <v>0</v>
      </c>
      <c r="I46" s="283">
        <f>DecarbCalcs2050[[#This Row],[PPAs]]</f>
        <v>0</v>
      </c>
      <c r="J46" s="283">
        <f>DecarbCalcs2050[[#This Row],[Utility Programs]]</f>
        <v>0</v>
      </c>
      <c r="K46" s="283">
        <f>DecarbCalcs2050[[#This Row],[Fuel Switching]]</f>
        <v>0</v>
      </c>
      <c r="L46" s="283"/>
      <c r="N46" s="345" t="s">
        <v>141</v>
      </c>
      <c r="O46" s="436" t="e">
        <f t="shared" si="19"/>
        <v>#DIV/0!</v>
      </c>
      <c r="P46" s="347">
        <f>IF('3. Decarbonization Strategy'!$D$99="No",Transformation!F51-Transformation!G51,Transformation!F52-Transformation!G52)</f>
        <v>0</v>
      </c>
      <c r="S46" s="367" t="s">
        <v>87</v>
      </c>
      <c r="T46" s="363" t="s">
        <v>80</v>
      </c>
      <c r="U46" s="387">
        <f>(DecarbCalcs2050[[#This Row],[Energy Efficiency]]-DecarbCalcs2050[[#This Row],[Total Values]])*EFs!$AB20</f>
        <v>0</v>
      </c>
      <c r="V46" s="383">
        <f>(DecarbCalcs2050[[#This Row],[Electrification]]-DecarbCalcs2050[[#This Row],[Energy Efficiency]])*EFs!$AB20</f>
        <v>0</v>
      </c>
      <c r="W46" s="387">
        <f>(DecarbCalcs2050[[#This Row],[Fuel Switching]]-DecarbCalcs2050[[#This Row],[Electrification]])*EFs!$AB20</f>
        <v>0</v>
      </c>
      <c r="X46" s="383">
        <f>(DecarbCalcs2050[[#This Row],[Onsite]]-DecarbCalcs2050[[#This Row],[Fuel Switching]])*EFs!$AB20</f>
        <v>0</v>
      </c>
      <c r="Y46" s="387">
        <f>(DecarbCalcs2050[[#This Row],[PPAs]]-DecarbCalcs2050[[#This Row],[Onsite]])*EFs!$AB20</f>
        <v>0</v>
      </c>
      <c r="Z46" s="383">
        <f>(DecarbCalcs2050[[#This Row],[Utility Programs]]-DecarbCalcs2050[[#This Row],[PPAs]])*EFs!$AB20</f>
        <v>0</v>
      </c>
      <c r="AA46" s="387">
        <f>(DecarbCalcs2050[[#This Row],[RECs]]-DecarbCalcs2050[[#This Row],[Utility Programs]])*EFs!$AB20</f>
        <v>0</v>
      </c>
      <c r="AB46" s="383">
        <f>(DecarbCalcs2050[[#This Row],[After Renewable Electricity]]-DecarbCalcs2050[[#This Row],[RECs]])*EFs!$AB20</f>
        <v>0</v>
      </c>
      <c r="AC46" s="387"/>
      <c r="AE46" s="367" t="s">
        <v>87</v>
      </c>
      <c r="AF46" s="363" t="s">
        <v>80</v>
      </c>
      <c r="AG46" s="387">
        <f>(DecarbCalcs2050[[#This Row],[Energy Efficiency]]-DecarbCalcs2050[[#This Row],[Total Values]])*EFs!$AC20</f>
        <v>0</v>
      </c>
      <c r="AH46" s="383">
        <f>(DecarbCalcs2050[[#This Row],[Electrification]]-DecarbCalcs2050[[#This Row],[Energy Efficiency]])*EFs!$AC20</f>
        <v>0</v>
      </c>
      <c r="AI46" s="387">
        <f>(DecarbCalcs2050[[#This Row],[Fuel Switching]]-DecarbCalcs2050[[#This Row],[Electrification]])*EFs!$AC20</f>
        <v>0</v>
      </c>
      <c r="AJ46" s="383">
        <f>(DecarbCalcs2050[[#This Row],[Onsite]]-DecarbCalcs2050[[#This Row],[Fuel Switching]])*EFs!$AC20</f>
        <v>0</v>
      </c>
      <c r="AK46" s="387">
        <f>(DecarbCalcs2050[[#This Row],[PPAs]]-DecarbCalcs2050[[#This Row],[Onsite]])*EFs!$AC20</f>
        <v>0</v>
      </c>
      <c r="AL46" s="383">
        <f>(DecarbCalcs2050[[#This Row],[Utility Programs]]-DecarbCalcs2050[[#This Row],[PPAs]])*EFs!$AC20</f>
        <v>0</v>
      </c>
      <c r="AM46" s="387">
        <f>(DecarbCalcs2050[[#This Row],[RECs]]-DecarbCalcs2050[[#This Row],[Utility Programs]])*EFs!$AC20</f>
        <v>0</v>
      </c>
      <c r="AN46" s="383">
        <f>(DecarbCalcs2050[[#This Row],[After Renewable Electricity]]-DecarbCalcs2050[[#This Row],[RECs]])*EFs!$AC20</f>
        <v>0</v>
      </c>
      <c r="AO46" s="387"/>
      <c r="AQ46" s="367" t="s">
        <v>87</v>
      </c>
      <c r="AR46" s="363" t="s">
        <v>80</v>
      </c>
      <c r="AS46" s="387">
        <f>U46*-Assumptions!$G$43</f>
        <v>0</v>
      </c>
      <c r="AT46" s="383">
        <f>(DecarbCalcs2050[[#This Row],[Energy Efficiency]]-DecarbCalcs2050[[#This Row],[Electrification]])/Assumptions!$G$47*Assumptions!$G$49*EFs!Y20*'3. Decarbonization Strategy'!$C$39+(DecarbCalcs2050[[#This Row],[Energy Efficiency]]-DecarbCalcs2050[[#This Row],[Electrification]])/Assumptions!$G$48*Assumptions!$G$51*EFs!Y20*'3. Decarbonization Strategy'!$C$40</f>
        <v>0</v>
      </c>
      <c r="AU46" s="387">
        <f>(DecarbCalcs2050[[#This Row],[Electrification]]-DecarbCalcs2050[[#This Row],[Fuel Switching]])/Assumptions!$G$56*Assumptions!$G$57*EFs!Y20</f>
        <v>0</v>
      </c>
      <c r="AV46" s="383"/>
      <c r="AW46" s="387"/>
      <c r="AX46" s="383"/>
      <c r="AY46" s="387"/>
      <c r="AZ46" s="383"/>
      <c r="BB46" s="367" t="s">
        <v>87</v>
      </c>
      <c r="BC46" s="363" t="s">
        <v>80</v>
      </c>
      <c r="BD46" s="387">
        <f>U46*-Assumptions!$G$44</f>
        <v>0</v>
      </c>
      <c r="BE46" s="383">
        <f>(DecarbCalcs2050[[#This Row],[Energy Efficiency]]-DecarbCalcs2050[[#This Row],[Electrification]])/Assumptions!$G$47*Assumptions!$G$50*'3. Decarbonization Strategy'!$C$39*EFs!Y20+(DecarbCalcs2050[[#This Row],[Energy Efficiency]]-DecarbCalcs2050[[#This Row],[Electrification]])/Assumptions!$G$48*Assumptions!$G$52*'3. Decarbonization Strategy'!$C$40*EFs!Y20</f>
        <v>0</v>
      </c>
      <c r="BF46" s="382">
        <f>(DecarbCalcs2050[[#This Row],[Electrification]]-DecarbCalcs2050[[#This Row],[Fuel Switching]])/Assumptions!$G$56*Assumptions!$G$58*EFs!Y20</f>
        <v>0</v>
      </c>
      <c r="BG46" s="383"/>
      <c r="BH46" s="387"/>
      <c r="BI46" s="383"/>
      <c r="BJ46" s="387"/>
      <c r="BK46" s="383"/>
    </row>
    <row r="47" spans="1:75" ht="16.5" customHeight="1" x14ac:dyDescent="0.3">
      <c r="A47" s="145" t="s">
        <v>88</v>
      </c>
      <c r="B47" s="145" t="s">
        <v>89</v>
      </c>
      <c r="C47" s="289" cm="1">
        <f t="array" ref="C47">(1+'1. Emissions Forecast'!$C$31)^(2050-'1. Emissions Forecast'!$C$10)*('2. Facility Emissions'!E35*INDEX(ConversionTable[Conversion Factor],MATCH(1,(ConversionTable[Source]='2. Facility Emissions'!C35)*(ConversionTable[Original Unit]='2. Facility Emissions'!D35),0))+'2. Facility Emissions'!J35*INDEX(ConversionTable[Conversion Factor],MATCH(1,(ConversionTable[Source]='2. Facility Emissions'!H35)*(ConversionTable[Original Unit]='2. Facility Emissions'!I35),0))+'2. Facility Emissions'!O35*INDEX(ConversionTable[Conversion Factor],MATCH(1,(ConversionTable[Source]='2. Facility Emissions'!M35)*(ConversionTable[Original Unit]='2. Facility Emissions'!N35),0))+'2. Facility Emissions'!T35*INDEX(ConversionTable[Conversion Factor],MATCH(1,(ConversionTable[Source]='2. Facility Emissions'!R35)*(ConversionTable[Original Unit]='2. Facility Emissions'!S35),0))+'2. Facility Emissions'!Y35*INDEX(ConversionTable[Conversion Factor],MATCH(1,(ConversionTable[Source]='2. Facility Emissions'!W35)*(ConversionTable[Original Unit]='2. Facility Emissions'!X35),0))+'2. Facility Emissions'!E58*INDEX(ConversionTable[Conversion Factor],MATCH(1,(ConversionTable[Source]='2. Facility Emissions'!C58)*(ConversionTable[Original Unit]='2. Facility Emissions'!D58),0))+'2. Facility Emissions'!J58*INDEX(ConversionTable[Conversion Factor],MATCH(1,(ConversionTable[Source]='2. Facility Emissions'!H58)*(ConversionTable[Original Unit]='2. Facility Emissions'!I58),0))+'2. Facility Emissions'!O58*INDEX(ConversionTable[Conversion Factor],MATCH(1,(ConversionTable[Source]='2. Facility Emissions'!M58)*(ConversionTable[Original Unit]='2. Facility Emissions'!N58),0))+'2. Facility Emissions'!T58*INDEX(ConversionTable[Conversion Factor],MATCH(1,(ConversionTable[Source]='2. Facility Emissions'!R58)*(ConversionTable[Original Unit]='2. Facility Emissions'!S58),0))+'2. Facility Emissions'!Y58*INDEX(ConversionTable[Conversion Factor],MATCH(1,(ConversionTable[Source]='2. Facility Emissions'!W58)*(ConversionTable[Original Unit]='2. Facility Emissions'!X58),0)))</f>
        <v>0</v>
      </c>
      <c r="D47" s="283">
        <f>DecarbCalcs2050[[#This Row],[Total Values]]*(1-('3. Decarbonization Strategy'!$D$26))</f>
        <v>0</v>
      </c>
      <c r="E47" s="283">
        <f>DecarbCalcs2050[[#This Row],[Energy Efficiency]]</f>
        <v>0</v>
      </c>
      <c r="F47" s="283">
        <f>DecarbCalcs2050[[#This Row],[Electrification]]</f>
        <v>0</v>
      </c>
      <c r="G47" s="283">
        <f>DecarbCalcs2050[[#This Row],[Fuel Switching]]</f>
        <v>0</v>
      </c>
      <c r="H47" s="283">
        <f>DecarbCalcs2050[[#This Row],[Onsite]]</f>
        <v>0</v>
      </c>
      <c r="I47" s="283">
        <f>DecarbCalcs2050[[#This Row],[PPAs]]</f>
        <v>0</v>
      </c>
      <c r="J47" s="283">
        <f>DecarbCalcs2050[[#This Row],[Utility Programs]]</f>
        <v>0</v>
      </c>
      <c r="K47" s="283">
        <f>DecarbCalcs2050[[#This Row],[Fuel Switching]]</f>
        <v>0</v>
      </c>
      <c r="L47" s="283"/>
      <c r="N47" s="345" t="s">
        <v>140</v>
      </c>
      <c r="O47" s="436" t="e">
        <f t="shared" si="19"/>
        <v>#DIV/0!</v>
      </c>
      <c r="P47" s="347">
        <f>IF('3. Decarbonization Strategy'!$D$99="No",Transformation!E51-Transformation!F51,Transformation!E52-Transformation!F52)</f>
        <v>0</v>
      </c>
      <c r="S47" s="368" t="s">
        <v>88</v>
      </c>
      <c r="T47" s="369" t="s">
        <v>89</v>
      </c>
      <c r="U47" s="388">
        <f>(DecarbCalcs2050[[#This Row],[Energy Efficiency]]-DecarbCalcs2050[[#This Row],[Total Values]])*EFs!$AB21</f>
        <v>0</v>
      </c>
      <c r="V47" s="389">
        <f>(DecarbCalcs2050[[#This Row],[Electrification]]-DecarbCalcs2050[[#This Row],[Energy Efficiency]])*EFs!$AB21</f>
        <v>0</v>
      </c>
      <c r="W47" s="388">
        <f>(DecarbCalcs2050[[#This Row],[Fuel Switching]]-DecarbCalcs2050[[#This Row],[Electrification]])*EFs!$AB21</f>
        <v>0</v>
      </c>
      <c r="X47" s="389">
        <f>(DecarbCalcs2050[[#This Row],[Onsite]]-DecarbCalcs2050[[#This Row],[Fuel Switching]])*EFs!$AB21</f>
        <v>0</v>
      </c>
      <c r="Y47" s="388">
        <f>(DecarbCalcs2050[[#This Row],[PPAs]]-DecarbCalcs2050[[#This Row],[Onsite]])*EFs!$AB21</f>
        <v>0</v>
      </c>
      <c r="Z47" s="389">
        <f>(DecarbCalcs2050[[#This Row],[Utility Programs]]-DecarbCalcs2050[[#This Row],[PPAs]])*EFs!$AB21</f>
        <v>0</v>
      </c>
      <c r="AA47" s="388">
        <f>(DecarbCalcs2050[[#This Row],[RECs]]-DecarbCalcs2050[[#This Row],[Utility Programs]])*EFs!$AB21</f>
        <v>0</v>
      </c>
      <c r="AB47" s="389">
        <f>(DecarbCalcs2050[[#This Row],[After Renewable Electricity]]-DecarbCalcs2050[[#This Row],[RECs]])*EFs!$AB21</f>
        <v>0</v>
      </c>
      <c r="AC47" s="388"/>
      <c r="AE47" s="368" t="s">
        <v>88</v>
      </c>
      <c r="AF47" s="369" t="s">
        <v>89</v>
      </c>
      <c r="AG47" s="388">
        <f>(DecarbCalcs2050[[#This Row],[Energy Efficiency]]-DecarbCalcs2050[[#This Row],[Total Values]])*EFs!$AC21</f>
        <v>0</v>
      </c>
      <c r="AH47" s="389">
        <f>(DecarbCalcs2050[[#This Row],[Electrification]]-DecarbCalcs2050[[#This Row],[Energy Efficiency]])*EFs!$AC21</f>
        <v>0</v>
      </c>
      <c r="AI47" s="388">
        <f>(DecarbCalcs2050[[#This Row],[Fuel Switching]]-DecarbCalcs2050[[#This Row],[Electrification]])*EFs!$AC21</f>
        <v>0</v>
      </c>
      <c r="AJ47" s="389">
        <f>(DecarbCalcs2050[[#This Row],[Onsite]]-DecarbCalcs2050[[#This Row],[Fuel Switching]])*EFs!$AC21</f>
        <v>0</v>
      </c>
      <c r="AK47" s="388">
        <f>(DecarbCalcs2050[[#This Row],[PPAs]]-DecarbCalcs2050[[#This Row],[Onsite]])*EFs!$AC21</f>
        <v>0</v>
      </c>
      <c r="AL47" s="389">
        <f>(DecarbCalcs2050[[#This Row],[Utility Programs]]-DecarbCalcs2050[[#This Row],[PPAs]])*EFs!$AC21</f>
        <v>0</v>
      </c>
      <c r="AM47" s="388">
        <f>(DecarbCalcs2050[[#This Row],[RECs]]-DecarbCalcs2050[[#This Row],[Utility Programs]])*EFs!$AC21</f>
        <v>0</v>
      </c>
      <c r="AN47" s="389">
        <f>(DecarbCalcs2050[[#This Row],[After Renewable Electricity]]-DecarbCalcs2050[[#This Row],[RECs]])*EFs!$AC21</f>
        <v>0</v>
      </c>
      <c r="AO47" s="388"/>
      <c r="AQ47" s="368" t="s">
        <v>88</v>
      </c>
      <c r="AR47" s="369" t="s">
        <v>89</v>
      </c>
      <c r="AS47" s="388">
        <f>U47*-Assumptions!$G$43</f>
        <v>0</v>
      </c>
      <c r="AT47" s="389"/>
      <c r="AU47" s="388"/>
      <c r="AV47" s="389"/>
      <c r="AW47" s="388"/>
      <c r="AX47" s="389"/>
      <c r="AY47" s="388"/>
      <c r="AZ47" s="389"/>
      <c r="BB47" s="368" t="s">
        <v>88</v>
      </c>
      <c r="BC47" s="369" t="s">
        <v>89</v>
      </c>
      <c r="BD47" s="388">
        <f>U47*-Assumptions!$G$44</f>
        <v>0</v>
      </c>
      <c r="BE47" s="389"/>
      <c r="BF47" s="388"/>
      <c r="BG47" s="389"/>
      <c r="BH47" s="388"/>
      <c r="BI47" s="389"/>
      <c r="BJ47" s="388"/>
      <c r="BK47" s="389"/>
    </row>
    <row r="48" spans="1:75" ht="16.5" customHeight="1" x14ac:dyDescent="0.3">
      <c r="A48" s="145" t="s">
        <v>90</v>
      </c>
      <c r="B48" s="145" t="s">
        <v>89</v>
      </c>
      <c r="C48" s="289" cm="1">
        <f t="array" ref="C48">(1+'1. Emissions Forecast'!$C$31)^(2050-'1. Emissions Forecast'!$C$10)*('2. Facility Emissions'!E36*INDEX(ConversionTable[Conversion Factor],MATCH(1,(ConversionTable[Source]='2. Facility Emissions'!C36)*(ConversionTable[Original Unit]='2. Facility Emissions'!D36),0))+'2. Facility Emissions'!J36*INDEX(ConversionTable[Conversion Factor],MATCH(1,(ConversionTable[Source]='2. Facility Emissions'!H36)*(ConversionTable[Original Unit]='2. Facility Emissions'!I36),0))+'2. Facility Emissions'!O36*INDEX(ConversionTable[Conversion Factor],MATCH(1,(ConversionTable[Source]='2. Facility Emissions'!M36)*(ConversionTable[Original Unit]='2. Facility Emissions'!N36),0))+'2. Facility Emissions'!T36*INDEX(ConversionTable[Conversion Factor],MATCH(1,(ConversionTable[Source]='2. Facility Emissions'!R36)*(ConversionTable[Original Unit]='2. Facility Emissions'!S36),0))+'2. Facility Emissions'!Y36*INDEX(ConversionTable[Conversion Factor],MATCH(1,(ConversionTable[Source]='2. Facility Emissions'!W36)*(ConversionTable[Original Unit]='2. Facility Emissions'!X36),0))+'2. Facility Emissions'!E59*INDEX(ConversionTable[Conversion Factor],MATCH(1,(ConversionTable[Source]='2. Facility Emissions'!C59)*(ConversionTable[Original Unit]='2. Facility Emissions'!D59),0))+'2. Facility Emissions'!J59*INDEX(ConversionTable[Conversion Factor],MATCH(1,(ConversionTable[Source]='2. Facility Emissions'!H59)*(ConversionTable[Original Unit]='2. Facility Emissions'!I59),0))+'2. Facility Emissions'!O59*INDEX(ConversionTable[Conversion Factor],MATCH(1,(ConversionTable[Source]='2. Facility Emissions'!M59)*(ConversionTable[Original Unit]='2. Facility Emissions'!N59),0))+'2. Facility Emissions'!T59*INDEX(ConversionTable[Conversion Factor],MATCH(1,(ConversionTable[Source]='2. Facility Emissions'!R59)*(ConversionTable[Original Unit]='2. Facility Emissions'!S59),0))+'2. Facility Emissions'!Y59*INDEX(ConversionTable[Conversion Factor],MATCH(1,(ConversionTable[Source]='2. Facility Emissions'!W59)*(ConversionTable[Original Unit]='2. Facility Emissions'!X59),0)))</f>
        <v>0</v>
      </c>
      <c r="D48" s="283">
        <f>DecarbCalcs2050[[#This Row],[Total Values]]*(1-('3. Decarbonization Strategy'!$D$26))</f>
        <v>0</v>
      </c>
      <c r="E48" s="283">
        <f>DecarbCalcs2050[[#This Row],[Energy Efficiency]]</f>
        <v>0</v>
      </c>
      <c r="F48" s="283">
        <f>DecarbCalcs2050[[#This Row],[Electrification]]</f>
        <v>0</v>
      </c>
      <c r="G48" s="283">
        <f>DecarbCalcs2050[[#This Row],[Fuel Switching]]</f>
        <v>0</v>
      </c>
      <c r="H48" s="283">
        <f>DecarbCalcs2050[[#This Row],[Onsite]]</f>
        <v>0</v>
      </c>
      <c r="I48" s="283">
        <f>DecarbCalcs2050[[#This Row],[PPAs]]</f>
        <v>0</v>
      </c>
      <c r="J48" s="283">
        <f>DecarbCalcs2050[[#This Row],[Utility Programs]]</f>
        <v>0</v>
      </c>
      <c r="K48" s="283">
        <f>DecarbCalcs2050[[#This Row],[Fuel Switching]]</f>
        <v>0</v>
      </c>
      <c r="L48" s="283"/>
      <c r="N48" s="345" t="s">
        <v>139</v>
      </c>
      <c r="O48" s="436" t="e">
        <f>P48/SUM($P$41:$P$49)</f>
        <v>#DIV/0!</v>
      </c>
      <c r="P48" s="346">
        <f>IF('3. Decarbonization Strategy'!$D$99="No",Transformation!D51-Transformation!E51,Transformation!D52-Transformation!E52)</f>
        <v>0</v>
      </c>
      <c r="S48" s="370" t="s">
        <v>90</v>
      </c>
      <c r="T48" s="371" t="s">
        <v>89</v>
      </c>
      <c r="U48" s="390">
        <f>(DecarbCalcs2050[[#This Row],[Energy Efficiency]]-DecarbCalcs2050[[#This Row],[Total Values]])*EFs!$AB22</f>
        <v>0</v>
      </c>
      <c r="V48" s="391">
        <f>(DecarbCalcs2050[[#This Row],[Electrification]]-DecarbCalcs2050[[#This Row],[Energy Efficiency]])*EFs!$AB22</f>
        <v>0</v>
      </c>
      <c r="W48" s="390">
        <f>(DecarbCalcs2050[[#This Row],[Fuel Switching]]-DecarbCalcs2050[[#This Row],[Electrification]])*EFs!$AB22</f>
        <v>0</v>
      </c>
      <c r="X48" s="391">
        <f>(DecarbCalcs2050[[#This Row],[Onsite]]-DecarbCalcs2050[[#This Row],[Fuel Switching]])*EFs!$AB22</f>
        <v>0</v>
      </c>
      <c r="Y48" s="390">
        <f>(DecarbCalcs2050[[#This Row],[PPAs]]-DecarbCalcs2050[[#This Row],[Onsite]])*EFs!$AB22</f>
        <v>0</v>
      </c>
      <c r="Z48" s="391">
        <f>(DecarbCalcs2050[[#This Row],[Utility Programs]]-DecarbCalcs2050[[#This Row],[PPAs]])*EFs!$AB22</f>
        <v>0</v>
      </c>
      <c r="AA48" s="390">
        <f>(DecarbCalcs2050[[#This Row],[RECs]]-DecarbCalcs2050[[#This Row],[Utility Programs]])*EFs!$AB22</f>
        <v>0</v>
      </c>
      <c r="AB48" s="391">
        <f>(DecarbCalcs2050[[#This Row],[After Renewable Electricity]]-DecarbCalcs2050[[#This Row],[RECs]])*EFs!$AB22</f>
        <v>0</v>
      </c>
      <c r="AC48" s="390"/>
      <c r="AE48" s="370" t="s">
        <v>90</v>
      </c>
      <c r="AF48" s="371" t="s">
        <v>89</v>
      </c>
      <c r="AG48" s="390">
        <f>(DecarbCalcs2050[[#This Row],[Energy Efficiency]]-DecarbCalcs2050[[#This Row],[Total Values]])*EFs!$AC22</f>
        <v>0</v>
      </c>
      <c r="AH48" s="391">
        <f>(DecarbCalcs2050[[#This Row],[Electrification]]-DecarbCalcs2050[[#This Row],[Energy Efficiency]])*EFs!$AC22</f>
        <v>0</v>
      </c>
      <c r="AI48" s="390">
        <f>(DecarbCalcs2050[[#This Row],[Fuel Switching]]-DecarbCalcs2050[[#This Row],[Electrification]])*EFs!$AC22</f>
        <v>0</v>
      </c>
      <c r="AJ48" s="391">
        <f>(DecarbCalcs2050[[#This Row],[Onsite]]-DecarbCalcs2050[[#This Row],[Fuel Switching]])*EFs!$AC22</f>
        <v>0</v>
      </c>
      <c r="AK48" s="390">
        <f>(DecarbCalcs2050[[#This Row],[PPAs]]-DecarbCalcs2050[[#This Row],[Onsite]])*EFs!$AC22</f>
        <v>0</v>
      </c>
      <c r="AL48" s="391">
        <f>(DecarbCalcs2050[[#This Row],[Utility Programs]]-DecarbCalcs2050[[#This Row],[PPAs]])*EFs!$AC22</f>
        <v>0</v>
      </c>
      <c r="AM48" s="390">
        <f>(DecarbCalcs2050[[#This Row],[RECs]]-DecarbCalcs2050[[#This Row],[Utility Programs]])*EFs!$AC22</f>
        <v>0</v>
      </c>
      <c r="AN48" s="391">
        <f>(DecarbCalcs2050[[#This Row],[After Renewable Electricity]]-DecarbCalcs2050[[#This Row],[RECs]])*EFs!$AC22</f>
        <v>0</v>
      </c>
      <c r="AO48" s="390"/>
      <c r="AQ48" s="370" t="s">
        <v>90</v>
      </c>
      <c r="AR48" s="371" t="s">
        <v>89</v>
      </c>
      <c r="AS48" s="390">
        <f>U48*-Assumptions!$G$43</f>
        <v>0</v>
      </c>
      <c r="AT48" s="391"/>
      <c r="AU48" s="390"/>
      <c r="AV48" s="391"/>
      <c r="AW48" s="390"/>
      <c r="AX48" s="391"/>
      <c r="AY48" s="390"/>
      <c r="AZ48" s="391"/>
      <c r="BB48" s="370" t="s">
        <v>90</v>
      </c>
      <c r="BC48" s="371" t="s">
        <v>89</v>
      </c>
      <c r="BD48" s="390">
        <f>U48*-Assumptions!$G$44</f>
        <v>0</v>
      </c>
      <c r="BE48" s="391"/>
      <c r="BF48" s="390"/>
      <c r="BG48" s="391"/>
      <c r="BH48" s="390"/>
      <c r="BI48" s="391"/>
      <c r="BJ48" s="390"/>
      <c r="BK48" s="391"/>
    </row>
    <row r="49" spans="1:63" ht="16.5" customHeight="1" x14ac:dyDescent="0.3">
      <c r="A49" s="145" t="s">
        <v>91</v>
      </c>
      <c r="B49" s="145" t="s">
        <v>89</v>
      </c>
      <c r="C49" s="289" cm="1">
        <f t="array" ref="C49">(1+'1. Emissions Forecast'!$C$31)^(2050-'1. Emissions Forecast'!$C$10)*('2. Facility Emissions'!E37*INDEX(ConversionTable[Conversion Factor],MATCH(1,(ConversionTable[Source]='2. Facility Emissions'!C37)*(ConversionTable[Original Unit]='2. Facility Emissions'!D37),0))+'2. Facility Emissions'!J37*INDEX(ConversionTable[Conversion Factor],MATCH(1,(ConversionTable[Source]='2. Facility Emissions'!H37)*(ConversionTable[Original Unit]='2. Facility Emissions'!I37),0))+'2. Facility Emissions'!O37*INDEX(ConversionTable[Conversion Factor],MATCH(1,(ConversionTable[Source]='2. Facility Emissions'!M37)*(ConversionTable[Original Unit]='2. Facility Emissions'!N37),0))+'2. Facility Emissions'!T37*INDEX(ConversionTable[Conversion Factor],MATCH(1,(ConversionTable[Source]='2. Facility Emissions'!R37)*(ConversionTable[Original Unit]='2. Facility Emissions'!S37),0))+'2. Facility Emissions'!Y37*INDEX(ConversionTable[Conversion Factor],MATCH(1,(ConversionTable[Source]='2. Facility Emissions'!W37)*(ConversionTable[Original Unit]='2. Facility Emissions'!X37),0))+'2. Facility Emissions'!E60*INDEX(ConversionTable[Conversion Factor],MATCH(1,(ConversionTable[Source]='2. Facility Emissions'!C60)*(ConversionTable[Original Unit]='2. Facility Emissions'!D60),0))+'2. Facility Emissions'!J60*INDEX(ConversionTable[Conversion Factor],MATCH(1,(ConversionTable[Source]='2. Facility Emissions'!H60)*(ConversionTable[Original Unit]='2. Facility Emissions'!I60),0))+'2. Facility Emissions'!O60*INDEX(ConversionTable[Conversion Factor],MATCH(1,(ConversionTable[Source]='2. Facility Emissions'!M60)*(ConversionTable[Original Unit]='2. Facility Emissions'!N60),0))+'2. Facility Emissions'!T60*INDEX(ConversionTable[Conversion Factor],MATCH(1,(ConversionTable[Source]='2. Facility Emissions'!R60)*(ConversionTable[Original Unit]='2. Facility Emissions'!S60),0))+'2. Facility Emissions'!Y60*INDEX(ConversionTable[Conversion Factor],MATCH(1,(ConversionTable[Source]='2. Facility Emissions'!W60)*(ConversionTable[Original Unit]='2. Facility Emissions'!X60),0)))</f>
        <v>0</v>
      </c>
      <c r="D49" s="283">
        <f>DecarbCalcs2050[[#This Row],[Total Values]]*(1-('3. Decarbonization Strategy'!$D$26))</f>
        <v>0</v>
      </c>
      <c r="E49" s="283">
        <f>DecarbCalcs2050[[#This Row],[Energy Efficiency]]</f>
        <v>0</v>
      </c>
      <c r="F49" s="283">
        <f>DecarbCalcs2050[[#This Row],[Electrification]]</f>
        <v>0</v>
      </c>
      <c r="G49" s="283">
        <f>DecarbCalcs2050[[#This Row],[Fuel Switching]]</f>
        <v>0</v>
      </c>
      <c r="H49" s="283">
        <f>DecarbCalcs2050[[#This Row],[Onsite]]</f>
        <v>0</v>
      </c>
      <c r="I49" s="283">
        <f>DecarbCalcs2050[[#This Row],[PPAs]]</f>
        <v>0</v>
      </c>
      <c r="J49" s="283">
        <f>DecarbCalcs2050[[#This Row],[Utility Programs]]</f>
        <v>0</v>
      </c>
      <c r="K49" s="283">
        <f>DecarbCalcs2050[[#This Row],[Fuel Switching]]</f>
        <v>0</v>
      </c>
      <c r="L49" s="283"/>
      <c r="N49" s="345" t="s">
        <v>138</v>
      </c>
      <c r="O49" s="436" t="e">
        <f t="shared" si="19"/>
        <v>#DIV/0!</v>
      </c>
      <c r="P49" s="346">
        <f>IF('3. Decarbonization Strategy'!$D$99="No",Transformation!C51-Transformation!D51,Transformation!C52-Transformation!D52)</f>
        <v>0</v>
      </c>
      <c r="S49" s="368" t="s">
        <v>91</v>
      </c>
      <c r="T49" s="369" t="s">
        <v>89</v>
      </c>
      <c r="U49" s="388">
        <f>(DecarbCalcs2050[[#This Row],[Energy Efficiency]]-DecarbCalcs2050[[#This Row],[Total Values]])*EFs!$AB23</f>
        <v>0</v>
      </c>
      <c r="V49" s="389">
        <f>(DecarbCalcs2050[[#This Row],[Electrification]]-DecarbCalcs2050[[#This Row],[Energy Efficiency]])*EFs!$AB23</f>
        <v>0</v>
      </c>
      <c r="W49" s="388">
        <f>(DecarbCalcs2050[[#This Row],[Fuel Switching]]-DecarbCalcs2050[[#This Row],[Electrification]])*EFs!$AB23</f>
        <v>0</v>
      </c>
      <c r="X49" s="389">
        <f>(DecarbCalcs2050[[#This Row],[Onsite]]-DecarbCalcs2050[[#This Row],[Fuel Switching]])*EFs!$AB23</f>
        <v>0</v>
      </c>
      <c r="Y49" s="388">
        <f>(DecarbCalcs2050[[#This Row],[PPAs]]-DecarbCalcs2050[[#This Row],[Onsite]])*EFs!$AB23</f>
        <v>0</v>
      </c>
      <c r="Z49" s="389">
        <f>(DecarbCalcs2050[[#This Row],[Utility Programs]]-DecarbCalcs2050[[#This Row],[PPAs]])*EFs!$AB23</f>
        <v>0</v>
      </c>
      <c r="AA49" s="388">
        <f>(DecarbCalcs2050[[#This Row],[RECs]]-DecarbCalcs2050[[#This Row],[Utility Programs]])*EFs!$AB23</f>
        <v>0</v>
      </c>
      <c r="AB49" s="389">
        <f>(DecarbCalcs2050[[#This Row],[After Renewable Electricity]]-DecarbCalcs2050[[#This Row],[RECs]])*EFs!$AB23</f>
        <v>0</v>
      </c>
      <c r="AC49" s="388"/>
      <c r="AE49" s="368" t="s">
        <v>91</v>
      </c>
      <c r="AF49" s="369" t="s">
        <v>89</v>
      </c>
      <c r="AG49" s="388">
        <f>(DecarbCalcs2050[[#This Row],[Energy Efficiency]]-DecarbCalcs2050[[#This Row],[Total Values]])*EFs!$AC23</f>
        <v>0</v>
      </c>
      <c r="AH49" s="389">
        <f>(DecarbCalcs2050[[#This Row],[Electrification]]-DecarbCalcs2050[[#This Row],[Energy Efficiency]])*EFs!$AC23</f>
        <v>0</v>
      </c>
      <c r="AI49" s="388">
        <f>(DecarbCalcs2050[[#This Row],[Fuel Switching]]-DecarbCalcs2050[[#This Row],[Electrification]])*EFs!$AC23</f>
        <v>0</v>
      </c>
      <c r="AJ49" s="389">
        <f>(DecarbCalcs2050[[#This Row],[Onsite]]-DecarbCalcs2050[[#This Row],[Fuel Switching]])*EFs!$AC23</f>
        <v>0</v>
      </c>
      <c r="AK49" s="388">
        <f>(DecarbCalcs2050[[#This Row],[PPAs]]-DecarbCalcs2050[[#This Row],[Onsite]])*EFs!$AC23</f>
        <v>0</v>
      </c>
      <c r="AL49" s="389">
        <f>(DecarbCalcs2050[[#This Row],[Utility Programs]]-DecarbCalcs2050[[#This Row],[PPAs]])*EFs!$AC23</f>
        <v>0</v>
      </c>
      <c r="AM49" s="388">
        <f>(DecarbCalcs2050[[#This Row],[RECs]]-DecarbCalcs2050[[#This Row],[Utility Programs]])*EFs!$AC23</f>
        <v>0</v>
      </c>
      <c r="AN49" s="389">
        <f>(DecarbCalcs2050[[#This Row],[After Renewable Electricity]]-DecarbCalcs2050[[#This Row],[RECs]])*EFs!$AC23</f>
        <v>0</v>
      </c>
      <c r="AO49" s="388"/>
      <c r="AQ49" s="368" t="s">
        <v>91</v>
      </c>
      <c r="AR49" s="369" t="s">
        <v>89</v>
      </c>
      <c r="AS49" s="388">
        <f>U49*-Assumptions!$G$43</f>
        <v>0</v>
      </c>
      <c r="AT49" s="389"/>
      <c r="AU49" s="388"/>
      <c r="AV49" s="389"/>
      <c r="AW49" s="388"/>
      <c r="AX49" s="389"/>
      <c r="AY49" s="388"/>
      <c r="AZ49" s="389"/>
      <c r="BB49" s="368" t="s">
        <v>91</v>
      </c>
      <c r="BC49" s="369" t="s">
        <v>89</v>
      </c>
      <c r="BD49" s="388">
        <f>U49*-Assumptions!$G$44</f>
        <v>0</v>
      </c>
      <c r="BE49" s="389"/>
      <c r="BF49" s="388"/>
      <c r="BG49" s="389"/>
      <c r="BH49" s="388"/>
      <c r="BI49" s="389"/>
      <c r="BJ49" s="388"/>
      <c r="BK49" s="389"/>
    </row>
    <row r="50" spans="1:63" ht="16.5" customHeight="1" x14ac:dyDescent="0.3">
      <c r="A50" s="27" t="s">
        <v>172</v>
      </c>
      <c r="B50" s="25" t="s">
        <v>80</v>
      </c>
      <c r="C50" s="337">
        <v>0</v>
      </c>
      <c r="D50" s="283">
        <f>DecarbCalcs2050[[#This Row],[Total Values]]*(1-('3. Decarbonization Strategy'!$D$26))</f>
        <v>0</v>
      </c>
      <c r="E50" s="283">
        <f>DecarbCalcs2050[[#This Row],[Energy Efficiency]]*(1-'3. Decarbonization Strategy'!$C$47)</f>
        <v>0</v>
      </c>
      <c r="F50" s="283" cm="1">
        <f t="array" ref="F50">SUM((E32:E46-F32:F46)*EFs!$Y$6:$Y$20)</f>
        <v>0</v>
      </c>
      <c r="G50" s="283">
        <f>DecarbCalcs2050[[#This Row],[Fuel Switching]]</f>
        <v>0</v>
      </c>
      <c r="H50" s="283">
        <f>DecarbCalcs2050[[#This Row],[Onsite]]</f>
        <v>0</v>
      </c>
      <c r="I50" s="283">
        <f>DecarbCalcs2050[[#This Row],[PPAs]]</f>
        <v>0</v>
      </c>
      <c r="J50" s="283">
        <f>DecarbCalcs2050[[#This Row],[Utility Programs]]</f>
        <v>0</v>
      </c>
      <c r="K50" s="283">
        <f>DecarbCalcs2050[[#This Row],[Fuel Switching]]</f>
        <v>0</v>
      </c>
      <c r="L50" s="283"/>
      <c r="S50" s="362" t="s">
        <v>172</v>
      </c>
      <c r="T50" s="363" t="s">
        <v>80</v>
      </c>
      <c r="U50" s="382">
        <f>(DecarbCalcs2050[[#This Row],[Energy Efficiency]]-DecarbCalcs2050[[#This Row],[Total Values]])*EFs!$AB24</f>
        <v>0</v>
      </c>
      <c r="V50" s="383">
        <f>(DecarbCalcs2050[[#This Row],[Electrification]]-DecarbCalcs2050[[#This Row],[Energy Efficiency]])*EFs!$AB24</f>
        <v>0</v>
      </c>
      <c r="W50" s="382">
        <f>(DecarbCalcs2050[[#This Row],[Fuel Switching]]-DecarbCalcs2050[[#This Row],[Electrification]])*EFs!$AB24</f>
        <v>0</v>
      </c>
      <c r="X50" s="383">
        <f>(DecarbCalcs2050[[#This Row],[Onsite]]-DecarbCalcs2050[[#This Row],[Fuel Switching]])*EFs!$AB24</f>
        <v>0</v>
      </c>
      <c r="Y50" s="382">
        <f>(DecarbCalcs2050[[#This Row],[PPAs]]-DecarbCalcs2050[[#This Row],[Onsite]])*EFs!$AB24</f>
        <v>0</v>
      </c>
      <c r="Z50" s="383">
        <f>(DecarbCalcs2050[[#This Row],[Utility Programs]]-DecarbCalcs2050[[#This Row],[PPAs]])*EFs!$AB24</f>
        <v>0</v>
      </c>
      <c r="AA50" s="382">
        <f>(DecarbCalcs2050[[#This Row],[RECs]]-DecarbCalcs2050[[#This Row],[Utility Programs]])*EFs!$AB24</f>
        <v>0</v>
      </c>
      <c r="AB50" s="383">
        <f>(DecarbCalcs2050[[#This Row],[After Renewable Electricity]]-DecarbCalcs2050[[#This Row],[RECs]])*EFs!$AB24</f>
        <v>0</v>
      </c>
      <c r="AC50" s="382"/>
      <c r="AE50" s="362" t="s">
        <v>172</v>
      </c>
      <c r="AF50" s="363" t="s">
        <v>80</v>
      </c>
      <c r="AG50" s="382">
        <f>(DecarbCalcs2050[[#This Row],[Energy Efficiency]]-DecarbCalcs2050[[#This Row],[Total Values]])*EFs!$AC24</f>
        <v>0</v>
      </c>
      <c r="AH50" s="383">
        <f>(DecarbCalcs2050[[#This Row],[Electrification]]-DecarbCalcs2050[[#This Row],[Energy Efficiency]])*EFs!$AC24</f>
        <v>0</v>
      </c>
      <c r="AI50" s="382">
        <f>(DecarbCalcs2050[[#This Row],[Fuel Switching]]-DecarbCalcs2050[[#This Row],[Electrification]])*EFs!$AC24</f>
        <v>0</v>
      </c>
      <c r="AJ50" s="383">
        <f>(DecarbCalcs2050[[#This Row],[Onsite]]-DecarbCalcs2050[[#This Row],[Fuel Switching]])*EFs!$AC24</f>
        <v>0</v>
      </c>
      <c r="AK50" s="382">
        <f>(DecarbCalcs2050[[#This Row],[PPAs]]-DecarbCalcs2050[[#This Row],[Onsite]])*EFs!$AC24</f>
        <v>0</v>
      </c>
      <c r="AL50" s="383">
        <f>(DecarbCalcs2050[[#This Row],[Utility Programs]]-DecarbCalcs2050[[#This Row],[PPAs]])*EFs!$AC24</f>
        <v>0</v>
      </c>
      <c r="AM50" s="382">
        <f>(DecarbCalcs2050[[#This Row],[RECs]]-DecarbCalcs2050[[#This Row],[Utility Programs]])*EFs!$AC24</f>
        <v>0</v>
      </c>
      <c r="AN50" s="383">
        <f>(DecarbCalcs2050[[#This Row],[After Renewable Electricity]]-DecarbCalcs2050[[#This Row],[RECs]])*EFs!$AC24</f>
        <v>0</v>
      </c>
      <c r="AO50" s="382"/>
      <c r="AQ50" s="362" t="s">
        <v>172</v>
      </c>
      <c r="AR50" s="363" t="s">
        <v>80</v>
      </c>
      <c r="AS50" s="382">
        <f>U50*-Assumptions!$G$43</f>
        <v>0</v>
      </c>
      <c r="AT50" s="383"/>
      <c r="AU50" s="382"/>
      <c r="AV50" s="383"/>
      <c r="AW50" s="382"/>
      <c r="AX50" s="383"/>
      <c r="AY50" s="382"/>
      <c r="AZ50" s="383"/>
      <c r="BB50" s="362" t="s">
        <v>172</v>
      </c>
      <c r="BC50" s="363" t="s">
        <v>80</v>
      </c>
      <c r="BD50" s="382">
        <f>U50*-Assumptions!$G$44</f>
        <v>0</v>
      </c>
      <c r="BE50" s="383"/>
      <c r="BF50" s="382"/>
      <c r="BG50" s="383"/>
      <c r="BH50" s="382"/>
      <c r="BI50" s="383"/>
      <c r="BJ50" s="382"/>
      <c r="BK50" s="383"/>
    </row>
    <row r="51" spans="1:63" ht="16.5" customHeight="1" x14ac:dyDescent="0.3">
      <c r="B51" s="51" t="s">
        <v>173</v>
      </c>
      <c r="C51" s="284">
        <f>C31*EFs!$P$10+C32*EFs!$P$12+C33*EFs!$P$9+C34*EFs!$P$7+Transformation!C35*EFs!$P$8+Transformation!C36*EFs!$P$4+Transformation!C37*EFs!$P$5+Transformation!C38*EFs!$P$13+Transformation!C39*EFs!$P$14+Transformation!C40*EFs!$P$15+Transformation!C41*EFs!$P$16+Transformation!C42*EFs!$P$17+Transformation!C43*EFs!$P$18+Transformation!C44*EFs!$P$19+Transformation!C45*EFs!$P$20+Transformation!C46*EFs!$P$21+Transformation!C47+Transformation!C48+Transformation!C49+C50*EFs!$P$25</f>
        <v>0</v>
      </c>
      <c r="D51" s="284">
        <f>D31*EFs!$P$10+D32*EFs!$P$12+D33*EFs!$P$9+D34*EFs!$P$7+Transformation!D35*EFs!$P$8+Transformation!D36*EFs!$P$4+Transformation!D37*EFs!$P$5+Transformation!D38*EFs!$P$13+Transformation!D39*EFs!$P$14+Transformation!D40*EFs!$P$15+Transformation!D41*EFs!$P$16+Transformation!D42*EFs!$P$17+Transformation!D43*EFs!$P$18+Transformation!D44*EFs!$P$19+Transformation!D45*EFs!$P$20+Transformation!D46*EFs!$P$21+Transformation!D47+Transformation!D48+Transformation!D49+D50*EFs!$P$25</f>
        <v>0</v>
      </c>
      <c r="E51" s="284">
        <f>E31*EFs!$P$10+E32*EFs!$P$12+E33*EFs!$P$9+E34*EFs!$P$7+Transformation!E35*EFs!$P$8+Transformation!E36*EFs!$P$4+Transformation!E37*EFs!$P$5+Transformation!E38*EFs!$P$13+Transformation!E39*EFs!$P$14+Transformation!E40*EFs!$P$15+Transformation!E41*EFs!$P$16+Transformation!E42*EFs!$P$17+Transformation!E43*EFs!$P$18+Transformation!E44*EFs!$P$19+Transformation!E45*EFs!$P$20+Transformation!E46*EFs!$P$21+Transformation!E47+Transformation!E48+Transformation!E49+E50*EFs!$P$25</f>
        <v>0</v>
      </c>
      <c r="F51" s="284">
        <f>F31*EFs!$P$10+F32*EFs!$P$12+F33*EFs!$P$9+F34*EFs!$P$7+Transformation!F35*EFs!$P$8+Transformation!F36*EFs!$P$4+Transformation!F37*EFs!$P$5+Transformation!F38*EFs!$P$13+Transformation!F39*EFs!$P$14+Transformation!F40*EFs!$P$15+Transformation!F41*EFs!$P$16+Transformation!F42*EFs!$P$17+Transformation!F43*EFs!$P$18+Transformation!F44*EFs!$P$19+Transformation!F45*EFs!$P$20+Transformation!F46*EFs!$P$21+Transformation!F47+Transformation!F48+Transformation!F49+F50*EFs!$P$25</f>
        <v>0</v>
      </c>
      <c r="G51" s="284">
        <f>G31*EFs!$P$10+G32*EFs!$P$12+G33*EFs!$P$9+G34*EFs!$P$7+Transformation!G35*EFs!$P$8+Transformation!G36*EFs!$P$4+Transformation!G37*EFs!$P$5+Transformation!G38*EFs!$P$13+Transformation!G39*EFs!$P$14+Transformation!G40*EFs!$P$15+Transformation!G41*EFs!$P$16+Transformation!G42*EFs!$P$17+Transformation!G43*EFs!$P$18+Transformation!G44*EFs!$P$19+Transformation!G45*EFs!$P$20+Transformation!G46*EFs!$P$21+Transformation!G47+Transformation!G48+Transformation!G49+G50*EFs!$P$25</f>
        <v>0</v>
      </c>
      <c r="H51" s="284">
        <f>H31*EFs!$P$10+H32*EFs!$P$12+H33*EFs!$P$9+H34*EFs!$P$7+Transformation!H35*EFs!$P$8+Transformation!H36*EFs!$P$4+Transformation!H37*EFs!$P$5+Transformation!H38*EFs!$P$13+Transformation!H39*EFs!$P$14+Transformation!H40*EFs!$P$15+Transformation!H41*EFs!$P$16+Transformation!H42*EFs!$P$17+Transformation!H43*EFs!$P$18+Transformation!H44*EFs!$P$19+Transformation!H45*EFs!$P$20+Transformation!H46*EFs!$P$21+Transformation!H47+Transformation!H48+Transformation!H49+H50*EFs!$P$25</f>
        <v>0</v>
      </c>
      <c r="I51" s="284">
        <f>I31*EFs!$P$10+I32*EFs!$P$12+I33*EFs!$P$9+I34*EFs!$P$7+Transformation!I35*EFs!$P$8+Transformation!I36*EFs!$P$4+Transformation!I37*EFs!$P$5+Transformation!I38*EFs!$P$13+Transformation!I39*EFs!$P$14+Transformation!I40*EFs!$P$15+Transformation!I41*EFs!$P$16+Transformation!I42*EFs!$P$17+Transformation!I43*EFs!$P$18+Transformation!I44*EFs!$P$19+Transformation!I45*EFs!$P$20+Transformation!I46*EFs!$P$21+Transformation!I47+Transformation!I48+Transformation!I49+I50*EFs!$P$25</f>
        <v>0</v>
      </c>
      <c r="J51" s="284">
        <f>J31*EFs!$P$10+J32*EFs!$P$12+J33*EFs!$P$9+J34*EFs!$P$7+Transformation!J35*EFs!$P$8+Transformation!J36*EFs!$P$4+Transformation!J37*EFs!$P$5+Transformation!J38*EFs!$P$13+Transformation!J39*EFs!$P$14+Transformation!J40*EFs!$P$15+Transformation!J41*EFs!$P$16+Transformation!J42*EFs!$P$17+Transformation!J43*EFs!$P$18+Transformation!J44*EFs!$P$19+Transformation!J45*EFs!$P$20+Transformation!J46*EFs!$P$21+Transformation!J47+Transformation!J48+Transformation!J49+J50*EFs!$P$25</f>
        <v>0</v>
      </c>
      <c r="K51" s="284">
        <f>K31*EFs!$P$10+K32*EFs!$P$12+K33*EFs!$P$9+K34*EFs!$P$7+Transformation!K35*EFs!$P$8+Transformation!K36*EFs!$P$4+Transformation!K37*EFs!$P$5+Transformation!K38*EFs!$P$13+Transformation!K39*EFs!$P$14+Transformation!K40*EFs!$P$15+Transformation!K41*EFs!$P$16+Transformation!K42*EFs!$P$17+Transformation!K43*EFs!$P$18+Transformation!K44*EFs!$P$19+Transformation!K45*EFs!$P$20+Transformation!K46*EFs!$P$21+Transformation!K47+Transformation!K48+Transformation!K49+K50*EFs!$P$25</f>
        <v>0</v>
      </c>
      <c r="L51" s="284">
        <f>L31*EFs!$P$10+L32*EFs!$P$12+L33*EFs!$P$9+L34*EFs!$P$7+Transformation!L35*EFs!$P$8+Transformation!L36*EFs!$P$4+Transformation!L37*EFs!$P$5+Transformation!L38*EFs!$P$13+Transformation!L39*EFs!$P$14+Transformation!L40*EFs!$P$15+Transformation!L41*EFs!$P$16+Transformation!L42*EFs!$P$17+Transformation!L43*EFs!$P$18+Transformation!L44*EFs!$P$19+Transformation!L45*EFs!$P$20+Transformation!L46*EFs!$P$21+Transformation!L47+Transformation!L48+Transformation!L49+L50*EFs!$P$25</f>
        <v>0</v>
      </c>
      <c r="N51" s="425" t="s">
        <v>483</v>
      </c>
      <c r="O51" s="341"/>
      <c r="P51" s="346">
        <f>C51</f>
        <v>0</v>
      </c>
    </row>
    <row r="52" spans="1:63" ht="16.5" customHeight="1" x14ac:dyDescent="0.3">
      <c r="B52" s="51" t="s">
        <v>175</v>
      </c>
      <c r="C52" s="284">
        <f>C31*EFs!$P$27+C32*EFs!$P$12+C33*EFs!$P$9+C34*EFs!$P$7+Transformation!C35*EFs!$P$8+Transformation!C36*EFs!$P$4+Transformation!C37*EFs!$P$5+Transformation!C38*EFs!$P$13+Transformation!C39*EFs!$P$14+Transformation!C40*EFs!$P$15+Transformation!C41*EFs!$P$16+Transformation!C42*EFs!$P$17+Transformation!C43*EFs!$P$18+Transformation!C44*EFs!$P$19+Transformation!C45*EFs!$P$20+Transformation!C46*EFs!$P$21+Transformation!C47+Transformation!C48+Transformation!C49+C50*EFs!$P$25</f>
        <v>0</v>
      </c>
      <c r="D52" s="284">
        <f>D31*EFs!$P$27+D32*EFs!$P$12+D33*EFs!$P$9+D34*EFs!$P$7+Transformation!D35*EFs!$P$8+Transformation!D36*EFs!$P$4+Transformation!D37*EFs!$P$5+Transformation!D38*EFs!$P$13+Transformation!D39*EFs!$P$14+Transformation!D40*EFs!$P$15+Transformation!D41*EFs!$P$16+Transformation!D42*EFs!$P$17+Transformation!D43*EFs!$P$18+Transformation!D44*EFs!$P$19+Transformation!D45*EFs!$P$20+Transformation!D46*EFs!$P$21+Transformation!D47+Transformation!D48+Transformation!D49+D50*EFs!$P$25</f>
        <v>0</v>
      </c>
      <c r="E52" s="284">
        <f>E31*EFs!$P$27+E32*EFs!$P$12+E33*EFs!$P$9+E34*EFs!$P$7+Transformation!E35*EFs!$P$8+Transformation!E36*EFs!$P$4+Transformation!E37*EFs!$P$5+Transformation!E38*EFs!$P$13+Transformation!E39*EFs!$P$14+Transformation!E40*EFs!$P$15+Transformation!E41*EFs!$P$16+Transformation!E42*EFs!$P$17+Transformation!E43*EFs!$P$18+Transformation!E44*EFs!$P$19+Transformation!E45*EFs!$P$20+Transformation!E46*EFs!$P$21+Transformation!E47+Transformation!E48+Transformation!E49+E50*EFs!$P$25</f>
        <v>0</v>
      </c>
      <c r="F52" s="284">
        <f>F31*EFs!$P$27+F32*EFs!$P$12+F33*EFs!$P$9+F34*EFs!$P$7+Transformation!F35*EFs!$P$8+Transformation!F36*EFs!$P$4+Transformation!F37*EFs!$P$5+Transformation!F38*EFs!$P$13+Transformation!F39*EFs!$P$14+Transformation!F40*EFs!$P$15+Transformation!F41*EFs!$P$16+Transformation!F42*EFs!$P$17+Transformation!F43*EFs!$P$18+Transformation!F44*EFs!$P$19+Transformation!F45*EFs!$P$20+Transformation!F46*EFs!$P$21+Transformation!F47+Transformation!F48+Transformation!F49+F50*EFs!$P$25</f>
        <v>0</v>
      </c>
      <c r="G52" s="284">
        <f>G31*EFs!$P$27+G32*EFs!$P$12+G33*EFs!$P$9+G34*EFs!$P$7+Transformation!G35*EFs!$P$8+Transformation!G36*EFs!$P$4+Transformation!G37*EFs!$P$5+Transformation!G38*EFs!$P$13+Transformation!G39*EFs!$P$14+Transformation!G40*EFs!$P$15+Transformation!G41*EFs!$P$16+Transformation!G42*EFs!$P$17+Transformation!G43*EFs!$P$18+Transformation!G44*EFs!$P$19+Transformation!G45*EFs!$P$20+Transformation!G46*EFs!$P$21+Transformation!G47+Transformation!G48+Transformation!G49+G50*EFs!$P$25</f>
        <v>0</v>
      </c>
      <c r="H52" s="284">
        <f>H31*EFs!$P$27+H32*EFs!$P$12+H33*EFs!$P$9+H34*EFs!$P$7+Transformation!H35*EFs!$P$8+Transformation!H36*EFs!$P$4+Transformation!H37*EFs!$P$5+Transformation!H38*EFs!$P$13+Transformation!H39*EFs!$P$14+Transformation!H40*EFs!$P$15+Transformation!H41*EFs!$P$16+Transformation!H42*EFs!$P$17+Transformation!H43*EFs!$P$18+Transformation!H44*EFs!$P$19+Transformation!H45*EFs!$P$20+Transformation!H46*EFs!$P$21+Transformation!H47+Transformation!H48+Transformation!H49+H50*EFs!$P$25</f>
        <v>0</v>
      </c>
      <c r="I52" s="284">
        <f>I31*EFs!$P$27+I32*EFs!$P$12+I33*EFs!$P$9+I34*EFs!$P$7+Transformation!I35*EFs!$P$8+Transformation!I36*EFs!$P$4+Transformation!I37*EFs!$P$5+Transformation!I38*EFs!$P$13+Transformation!I39*EFs!$P$14+Transformation!I40*EFs!$P$15+Transformation!I41*EFs!$P$16+Transformation!I42*EFs!$P$17+Transformation!I43*EFs!$P$18+Transformation!I44*EFs!$P$19+Transformation!I45*EFs!$P$20+Transformation!I46*EFs!$P$21+Transformation!I47+Transformation!I48+Transformation!I49+I50*EFs!$P$25</f>
        <v>0</v>
      </c>
      <c r="J52" s="284">
        <f>J31*EFs!$P$27+J32*EFs!$P$12+J33*EFs!$P$9+J34*EFs!$P$7+Transformation!J35*EFs!$P$8+Transformation!J36*EFs!$P$4+Transformation!J37*EFs!$P$5+Transformation!J38*EFs!$P$13+Transformation!J39*EFs!$P$14+Transformation!J40*EFs!$P$15+Transformation!J41*EFs!$P$16+Transformation!J42*EFs!$P$17+Transformation!J43*EFs!$P$18+Transformation!J44*EFs!$P$19+Transformation!J45*EFs!$P$20+Transformation!J46*EFs!$P$21+Transformation!J47+Transformation!J48+Transformation!J49+J50*EFs!$P$25</f>
        <v>0</v>
      </c>
      <c r="K52" s="284">
        <f>K31*EFs!$P$27+K32*EFs!$P$12+K33*EFs!$P$9+K34*EFs!$P$7+Transformation!K35*EFs!$P$8+Transformation!K36*EFs!$P$4+Transformation!K37*EFs!$P$5+Transformation!K38*EFs!$P$13+Transformation!K39*EFs!$P$14+Transformation!K40*EFs!$P$15+Transformation!K41*EFs!$P$16+Transformation!K42*EFs!$P$17+Transformation!K43*EFs!$P$18+Transformation!K44*EFs!$P$19+Transformation!K45*EFs!$P$20+Transformation!K46*EFs!$P$21+Transformation!K47+Transformation!K48+Transformation!K49+K50*EFs!$P$25</f>
        <v>0</v>
      </c>
      <c r="L52" s="284"/>
      <c r="N52" s="425" t="s">
        <v>482</v>
      </c>
      <c r="O52" s="341"/>
      <c r="P52" s="589">
        <f>0</f>
        <v>0</v>
      </c>
    </row>
    <row r="53" spans="1:63" ht="16.5" customHeight="1" x14ac:dyDescent="0.3">
      <c r="D53" s="284">
        <f t="shared" ref="D53:L53" si="20">C52-D52</f>
        <v>0</v>
      </c>
      <c r="E53" s="284">
        <f t="shared" si="20"/>
        <v>0</v>
      </c>
      <c r="F53" s="284">
        <f t="shared" si="20"/>
        <v>0</v>
      </c>
      <c r="G53" s="284">
        <f t="shared" si="20"/>
        <v>0</v>
      </c>
      <c r="H53" s="284">
        <f t="shared" si="20"/>
        <v>0</v>
      </c>
      <c r="I53" s="284">
        <f t="shared" si="20"/>
        <v>0</v>
      </c>
      <c r="J53" s="284">
        <f t="shared" si="20"/>
        <v>0</v>
      </c>
      <c r="K53" s="284">
        <f t="shared" si="20"/>
        <v>0</v>
      </c>
      <c r="L53" s="284">
        <f t="shared" si="20"/>
        <v>0</v>
      </c>
    </row>
    <row r="54" spans="1:63" ht="16.5" customHeight="1" x14ac:dyDescent="0.3"/>
    <row r="55" spans="1:63" ht="16.5" customHeight="1" x14ac:dyDescent="0.3"/>
    <row r="56" spans="1:63" ht="16.5" customHeight="1" x14ac:dyDescent="0.3"/>
    <row r="57" spans="1:63" ht="16.5" customHeight="1" x14ac:dyDescent="0.3">
      <c r="N57" s="345" t="s">
        <v>156</v>
      </c>
      <c r="O57" s="345">
        <v>2035</v>
      </c>
      <c r="P57" s="345">
        <v>2050</v>
      </c>
      <c r="S57" s="349">
        <v>2035</v>
      </c>
      <c r="T57" s="349">
        <v>2050</v>
      </c>
    </row>
    <row r="58" spans="1:63" ht="16.5" customHeight="1" x14ac:dyDescent="0.3">
      <c r="N58" s="345" t="s">
        <v>160</v>
      </c>
      <c r="O58" s="436" t="e">
        <f t="shared" ref="O58:O66" si="21">O13</f>
        <v>#DIV/0!</v>
      </c>
      <c r="P58" s="436" t="e">
        <f t="shared" ref="P58:P66" si="22">O41</f>
        <v>#DIV/0!</v>
      </c>
      <c r="R58" s="348" t="s">
        <v>179</v>
      </c>
      <c r="S58" s="282">
        <v>0.37</v>
      </c>
      <c r="T58" s="282">
        <v>0</v>
      </c>
    </row>
    <row r="59" spans="1:63" ht="16.5" customHeight="1" x14ac:dyDescent="0.3">
      <c r="N59" s="345" t="s">
        <v>180</v>
      </c>
      <c r="O59" s="436" t="e">
        <f t="shared" si="21"/>
        <v>#DIV/0!</v>
      </c>
      <c r="P59" s="436" t="e">
        <f t="shared" si="22"/>
        <v>#DIV/0!</v>
      </c>
    </row>
    <row r="60" spans="1:63" x14ac:dyDescent="0.3">
      <c r="N60" s="345" t="s">
        <v>144</v>
      </c>
      <c r="O60" s="436" t="e">
        <f t="shared" si="21"/>
        <v>#DIV/0!</v>
      </c>
      <c r="P60" s="436" t="e">
        <f t="shared" si="22"/>
        <v>#DIV/0!</v>
      </c>
    </row>
    <row r="61" spans="1:63" x14ac:dyDescent="0.3">
      <c r="N61" s="345" t="s">
        <v>143</v>
      </c>
      <c r="O61" s="436" t="e">
        <f t="shared" si="21"/>
        <v>#DIV/0!</v>
      </c>
      <c r="P61" s="436" t="e">
        <f t="shared" si="22"/>
        <v>#DIV/0!</v>
      </c>
    </row>
    <row r="62" spans="1:63" x14ac:dyDescent="0.3">
      <c r="N62" s="345" t="s">
        <v>142</v>
      </c>
      <c r="O62" s="436" t="e">
        <f t="shared" si="21"/>
        <v>#DIV/0!</v>
      </c>
      <c r="P62" s="436" t="e">
        <f t="shared" si="22"/>
        <v>#DIV/0!</v>
      </c>
    </row>
    <row r="63" spans="1:63" x14ac:dyDescent="0.3">
      <c r="N63" s="345" t="s">
        <v>181</v>
      </c>
      <c r="O63" s="436" t="e">
        <f t="shared" si="21"/>
        <v>#DIV/0!</v>
      </c>
      <c r="P63" s="436" t="e">
        <f t="shared" si="22"/>
        <v>#DIV/0!</v>
      </c>
    </row>
    <row r="64" spans="1:63" x14ac:dyDescent="0.3">
      <c r="N64" s="345" t="s">
        <v>140</v>
      </c>
      <c r="O64" s="436" t="e">
        <f t="shared" si="21"/>
        <v>#DIV/0!</v>
      </c>
      <c r="P64" s="436" t="e">
        <f t="shared" si="22"/>
        <v>#DIV/0!</v>
      </c>
    </row>
    <row r="65" spans="14:16" x14ac:dyDescent="0.3">
      <c r="N65" s="345" t="s">
        <v>139</v>
      </c>
      <c r="O65" s="436" t="e">
        <f t="shared" si="21"/>
        <v>#DIV/0!</v>
      </c>
      <c r="P65" s="436" t="e">
        <f t="shared" si="22"/>
        <v>#DIV/0!</v>
      </c>
    </row>
    <row r="66" spans="14:16" x14ac:dyDescent="0.3">
      <c r="N66" s="345" t="s">
        <v>138</v>
      </c>
      <c r="O66" s="436" t="e">
        <f t="shared" si="21"/>
        <v>#DIV/0!</v>
      </c>
      <c r="P66" s="436" t="e">
        <f t="shared" si="22"/>
        <v>#DIV/0!</v>
      </c>
    </row>
    <row r="68" spans="14:16" x14ac:dyDescent="0.3">
      <c r="N68" s="590" t="s">
        <v>484</v>
      </c>
      <c r="O68" s="495" t="e">
        <f>P25</f>
        <v>#DIV/0!</v>
      </c>
      <c r="P68" s="495" t="e">
        <f>O68</f>
        <v>#DIV/0!</v>
      </c>
    </row>
    <row r="69" spans="14:16" x14ac:dyDescent="0.3">
      <c r="N69" s="590" t="s">
        <v>485</v>
      </c>
      <c r="O69" s="283">
        <f>P52</f>
        <v>0</v>
      </c>
      <c r="P69" s="283">
        <f>O69</f>
        <v>0</v>
      </c>
    </row>
  </sheetData>
  <mergeCells count="1">
    <mergeCell ref="A1:C1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disablePrompts="1" count="16">
        <x14:dataValidation type="list" allowBlank="1" showInputMessage="1" showErrorMessage="1" xr:uid="{1879C61F-663F-4BB9-BE65-6F2A8857EAF5}">
          <x14:formula1>
            <xm:f>EFs!$B$62:$B$63</xm:f>
          </x14:formula1>
          <xm:sqref>B19 B46 T19 T46 AF19 AF46 AR19 AR46 BC19 BC46</xm:sqref>
        </x14:dataValidation>
        <x14:dataValidation type="list" allowBlank="1" showInputMessage="1" showErrorMessage="1" xr:uid="{42C5A45C-4D84-4118-8AAB-3D1040E18B91}">
          <x14:formula1>
            <xm:f>EFs!$B$58:$B$59</xm:f>
          </x14:formula1>
          <xm:sqref>B17 B44 T17 T44 AF17 AF44 AR17 AR44 BC17 BC44</xm:sqref>
        </x14:dataValidation>
        <x14:dataValidation type="list" allowBlank="1" showInputMessage="1" showErrorMessage="1" xr:uid="{6BF06CAE-C88E-466A-9C87-29BDA9301F67}">
          <x14:formula1>
            <xm:f>EFs!$B$56:$B$57</xm:f>
          </x14:formula1>
          <xm:sqref>B16 B18 B43 B45 T16 T18 T43 T45 AF16 AF18 AF43 AF45 AR16 AR18 AR43 AR45 BC16 BC18 BC43 BC45</xm:sqref>
        </x14:dataValidation>
        <x14:dataValidation type="list" allowBlank="1" showInputMessage="1" showErrorMessage="1" xr:uid="{27309910-4715-44C6-8AB3-65981919EB1A}">
          <x14:formula1>
            <xm:f>EFs!$B$54:$B$55</xm:f>
          </x14:formula1>
          <xm:sqref>B15 B42 T15 T42 AF15 AF42 AR15 AR42 BC15 BC42</xm:sqref>
        </x14:dataValidation>
        <x14:dataValidation type="list" allowBlank="1" showInputMessage="1" showErrorMessage="1" xr:uid="{844168C4-F528-4A9F-ADEC-D0C44055616B}">
          <x14:formula1>
            <xm:f>EFs!$B$51:$B$53</xm:f>
          </x14:formula1>
          <xm:sqref>B14 B41 T14 T41 AF14 AF41 AR14 AR41 BC14 BC41</xm:sqref>
        </x14:dataValidation>
        <x14:dataValidation type="list" allowBlank="1" showInputMessage="1" showErrorMessage="1" xr:uid="{CB731B19-9268-4DBE-9755-BFD7E22B804F}">
          <x14:formula1>
            <xm:f>EFs!$B$49:$B$50</xm:f>
          </x14:formula1>
          <xm:sqref>B13 B40 T13 T40 AF13 AF40 AR13 AR40 BC13 BC40</xm:sqref>
        </x14:dataValidation>
        <x14:dataValidation type="list" allowBlank="1" showInputMessage="1" showErrorMessage="1" xr:uid="{050ECEFD-B45B-4043-BBEE-9080571C72C2}">
          <x14:formula1>
            <xm:f>EFs!$B$46:$B$48</xm:f>
          </x14:formula1>
          <xm:sqref>B12 B39 T12 T39 AF12 AF39 AR12 AR39 BC12 BC39</xm:sqref>
        </x14:dataValidation>
        <x14:dataValidation type="list" allowBlank="1" showInputMessage="1" showErrorMessage="1" xr:uid="{A4727040-D500-4536-9E4C-98FD2B858A7A}">
          <x14:formula1>
            <xm:f>EFs!$B$39:$B$40</xm:f>
          </x14:formula1>
          <xm:sqref>B11 B38 T11 T38 AF11 AF38 AR11 AR38 BC11 BC38</xm:sqref>
        </x14:dataValidation>
        <x14:dataValidation type="list" allowBlank="1" showInputMessage="1" showErrorMessage="1" xr:uid="{0F10839B-6CBD-406A-9552-F3C1AD8C26CD}">
          <x14:formula1>
            <xm:f>EFs!$B$41:$B$45</xm:f>
          </x14:formula1>
          <xm:sqref>B10 B37 T10 T37 AF10 AF37 AR10 AR37 BC10 BC37</xm:sqref>
        </x14:dataValidation>
        <x14:dataValidation type="list" allowBlank="1" showInputMessage="1" showErrorMessage="1" xr:uid="{B3E0FA98-18D7-4088-9867-9479B040A8AB}">
          <x14:formula1>
            <xm:f>EFs!$B$16:$B$17</xm:f>
          </x14:formula1>
          <xm:sqref>B3 B30 T3 T30 AF3 AF30 AR3 AR30 BC3 BC30</xm:sqref>
        </x14:dataValidation>
        <x14:dataValidation type="list" allowBlank="1" showInputMessage="1" showErrorMessage="1" xr:uid="{BBE04E25-88D5-4C5F-A980-44B1129F3993}">
          <x14:formula1>
            <xm:f>EFs!$B$14:$B$15</xm:f>
          </x14:formula1>
          <xm:sqref>B4 B31 T4 T31 AF4 AF31 AR4 AR31 BC4 BC31</xm:sqref>
        </x14:dataValidation>
        <x14:dataValidation type="list" allowBlank="1" showInputMessage="1" showErrorMessage="1" xr:uid="{E744162E-D125-4086-AAD2-0A2BCAF913AD}">
          <x14:formula1>
            <xm:f>EFs!$B$37:$B$38</xm:f>
          </x14:formula1>
          <xm:sqref>B5 B32 T5 T32 AF5 AF32 AR5 AR32 BC5 BC32</xm:sqref>
        </x14:dataValidation>
        <x14:dataValidation type="list" allowBlank="1" showInputMessage="1" showErrorMessage="1" xr:uid="{AEC12452-0942-4A42-84B4-A497F504D5EA}">
          <x14:formula1>
            <xm:f>EFs!$B$20:$B$21</xm:f>
          </x14:formula1>
          <xm:sqref>B8 B35 T8 T35 AF8 AF35 AR8 AR35 BC8 BC35</xm:sqref>
        </x14:dataValidation>
        <x14:dataValidation type="list" allowBlank="1" showInputMessage="1" showErrorMessage="1" xr:uid="{AD638C85-0BEB-48FA-9EF3-DC1995355B3C}">
          <x14:formula1>
            <xm:f>EFs!$B$18:$B$19</xm:f>
          </x14:formula1>
          <xm:sqref>B7 B34 T7 T34 AF7 AF34 AR7 AR34 BC7 BC34</xm:sqref>
        </x14:dataValidation>
        <x14:dataValidation type="list" allowBlank="1" showInputMessage="1" showErrorMessage="1" xr:uid="{7A926858-152C-43E8-8049-1DA9B8D780EE}">
          <x14:formula1>
            <xm:f>EFs!$B$34:$B$36</xm:f>
          </x14:formula1>
          <xm:sqref>B6 B33 T6 T33 AF6 AF33 AR6 AR33 BC6 BC33</xm:sqref>
        </x14:dataValidation>
        <x14:dataValidation type="list" allowBlank="1" showInputMessage="1" showErrorMessage="1" xr:uid="{A2267BE9-80B0-4BB9-9870-99394FD9278C}">
          <x14:formula1>
            <xm:f>EFs!$B$26:$B$33</xm:f>
          </x14:formula1>
          <xm:sqref>B9 B36 T9 T36 AF9 AF36 AR9 AR36 BC9 BC36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95FF-68D9-4105-93EA-C5A7F48228A3}">
  <sheetPr>
    <tabColor theme="6"/>
  </sheetPr>
  <dimension ref="A1:P84"/>
  <sheetViews>
    <sheetView topLeftCell="A39" workbookViewId="0">
      <selection activeCell="N56" sqref="N56"/>
    </sheetView>
  </sheetViews>
  <sheetFormatPr defaultRowHeight="14" x14ac:dyDescent="0.3"/>
  <cols>
    <col min="7" max="7" width="13.09765625" bestFit="1" customWidth="1"/>
    <col min="9" max="9" width="11.09765625" customWidth="1"/>
  </cols>
  <sheetData>
    <row r="1" spans="1:11" x14ac:dyDescent="0.3">
      <c r="A1" s="290" t="s">
        <v>325</v>
      </c>
    </row>
    <row r="3" spans="1:11" x14ac:dyDescent="0.3">
      <c r="A3" s="579" t="s">
        <v>326</v>
      </c>
      <c r="B3" s="579"/>
      <c r="C3" s="579"/>
      <c r="D3" s="579"/>
      <c r="E3" s="579"/>
      <c r="F3" s="579"/>
      <c r="G3" s="579"/>
    </row>
    <row r="4" spans="1:11" x14ac:dyDescent="0.3">
      <c r="A4" s="320" t="s">
        <v>327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</row>
    <row r="5" spans="1:11" x14ac:dyDescent="0.3">
      <c r="A5" s="320" t="s">
        <v>328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</row>
    <row r="6" spans="1:11" ht="14.5" thickBot="1" x14ac:dyDescent="0.35">
      <c r="A6" s="321" t="s">
        <v>329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</row>
    <row r="7" spans="1:11" x14ac:dyDescent="0.3">
      <c r="A7" s="580" t="s">
        <v>330</v>
      </c>
      <c r="B7" s="580"/>
      <c r="C7" s="580"/>
      <c r="D7" s="580"/>
      <c r="E7" s="580"/>
      <c r="F7" s="580"/>
      <c r="G7" s="580"/>
    </row>
    <row r="8" spans="1:11" x14ac:dyDescent="0.3">
      <c r="A8" s="584" t="s">
        <v>331</v>
      </c>
      <c r="B8" s="584"/>
      <c r="C8" s="584"/>
      <c r="D8" s="584"/>
      <c r="E8" s="584"/>
      <c r="F8" s="584"/>
      <c r="G8" s="328">
        <v>0.75</v>
      </c>
    </row>
    <row r="9" spans="1:11" x14ac:dyDescent="0.3">
      <c r="A9" s="584" t="s">
        <v>332</v>
      </c>
      <c r="B9" s="584"/>
      <c r="C9" s="584"/>
      <c r="D9" s="584"/>
      <c r="E9" s="584"/>
      <c r="F9" s="584"/>
      <c r="G9" s="328">
        <v>0.99</v>
      </c>
    </row>
    <row r="10" spans="1:11" x14ac:dyDescent="0.3">
      <c r="A10" s="335" t="s">
        <v>333</v>
      </c>
      <c r="B10" s="336"/>
      <c r="C10" s="336"/>
      <c r="D10" s="336"/>
      <c r="E10" s="336"/>
      <c r="F10" s="336"/>
      <c r="G10" s="427">
        <v>3</v>
      </c>
    </row>
    <row r="11" spans="1:11" x14ac:dyDescent="0.3">
      <c r="A11" s="584" t="s">
        <v>334</v>
      </c>
      <c r="B11" s="584"/>
      <c r="C11" s="584"/>
      <c r="D11" s="584"/>
      <c r="E11" s="584"/>
      <c r="F11" s="584"/>
      <c r="G11" s="329">
        <v>0.22500000000000001</v>
      </c>
    </row>
    <row r="12" spans="1:11" x14ac:dyDescent="0.3">
      <c r="A12" s="584" t="s">
        <v>335</v>
      </c>
      <c r="B12" s="584"/>
      <c r="C12" s="584"/>
      <c r="D12" s="584"/>
      <c r="E12" s="584"/>
      <c r="F12" s="584"/>
      <c r="G12" s="330">
        <v>1.055056</v>
      </c>
    </row>
    <row r="13" spans="1:11" ht="14.5" thickBot="1" x14ac:dyDescent="0.35">
      <c r="A13" s="585" t="s">
        <v>336</v>
      </c>
      <c r="B13" s="585"/>
      <c r="C13" s="585"/>
      <c r="D13" s="585"/>
      <c r="E13" s="585"/>
      <c r="F13" s="585"/>
      <c r="G13" s="331">
        <v>3.6</v>
      </c>
    </row>
    <row r="14" spans="1:11" x14ac:dyDescent="0.3">
      <c r="A14" s="322" t="s">
        <v>337</v>
      </c>
      <c r="B14" s="323"/>
      <c r="C14" s="323"/>
      <c r="D14" s="323"/>
      <c r="E14" s="323"/>
      <c r="F14" s="323"/>
      <c r="G14" s="324"/>
    </row>
    <row r="15" spans="1:11" x14ac:dyDescent="0.3">
      <c r="A15" s="581" t="s">
        <v>338</v>
      </c>
      <c r="B15" s="581"/>
      <c r="C15" s="581"/>
      <c r="D15" s="581"/>
      <c r="E15" s="581"/>
      <c r="F15" s="581"/>
      <c r="G15" s="326">
        <v>-1000</v>
      </c>
    </row>
    <row r="16" spans="1:11" x14ac:dyDescent="0.3">
      <c r="A16" s="581" t="s">
        <v>339</v>
      </c>
      <c r="B16" s="581"/>
      <c r="C16" s="581"/>
      <c r="D16" s="581"/>
      <c r="E16" s="581"/>
      <c r="F16" s="581"/>
      <c r="G16" s="326">
        <f>1000*G8*G12*(1-G11)/G9/G13</f>
        <v>172.06826599326601</v>
      </c>
    </row>
    <row r="17" spans="1:9" x14ac:dyDescent="0.3">
      <c r="A17" s="581" t="s">
        <v>340</v>
      </c>
      <c r="B17" s="581"/>
      <c r="C17" s="581"/>
      <c r="D17" s="581"/>
      <c r="E17" s="581"/>
      <c r="F17" s="581"/>
      <c r="G17" s="326">
        <f>-G15*EFs!P4</f>
        <v>53.1145</v>
      </c>
    </row>
    <row r="18" spans="1:9" x14ac:dyDescent="0.3">
      <c r="A18" s="581" t="s">
        <v>341</v>
      </c>
      <c r="B18" s="581"/>
      <c r="C18" s="581"/>
      <c r="D18" s="581"/>
      <c r="E18" s="581"/>
      <c r="F18" s="581"/>
      <c r="G18" s="326">
        <f>-G16*EFs!P10</f>
        <v>-64.590632808079292</v>
      </c>
    </row>
    <row r="19" spans="1:9" ht="14.5" thickBot="1" x14ac:dyDescent="0.35">
      <c r="A19" s="582" t="s">
        <v>342</v>
      </c>
      <c r="B19" s="582"/>
      <c r="C19" s="582"/>
      <c r="D19" s="582"/>
      <c r="E19" s="582"/>
      <c r="F19" s="582"/>
      <c r="G19" s="327">
        <f>G17+G18</f>
        <v>-11.476132808079292</v>
      </c>
    </row>
    <row r="20" spans="1:9" x14ac:dyDescent="0.3">
      <c r="A20" t="s">
        <v>343</v>
      </c>
    </row>
    <row r="21" spans="1:9" ht="14.5" thickBot="1" x14ac:dyDescent="0.35"/>
    <row r="22" spans="1:9" ht="14.5" thickBot="1" x14ac:dyDescent="0.35">
      <c r="A22" s="583" t="s">
        <v>344</v>
      </c>
      <c r="B22" s="583"/>
      <c r="C22" s="583"/>
      <c r="D22" s="583"/>
      <c r="E22" s="583"/>
      <c r="F22" s="583"/>
      <c r="G22" s="325">
        <f>ABS(G16/G15)</f>
        <v>0.17206826599326602</v>
      </c>
    </row>
    <row r="23" spans="1:9" ht="14.5" thickBot="1" x14ac:dyDescent="0.35"/>
    <row r="24" spans="1:9" x14ac:dyDescent="0.3">
      <c r="A24" s="395" t="s">
        <v>345</v>
      </c>
      <c r="B24" s="396"/>
      <c r="C24" s="396"/>
      <c r="D24" s="396"/>
      <c r="E24" s="396"/>
      <c r="F24" s="396"/>
      <c r="G24" s="396"/>
      <c r="H24" s="396"/>
      <c r="I24" s="397"/>
    </row>
    <row r="25" spans="1:9" x14ac:dyDescent="0.3">
      <c r="A25" s="398" t="s">
        <v>346</v>
      </c>
      <c r="B25" s="399"/>
      <c r="C25" s="399"/>
      <c r="D25" s="399"/>
      <c r="E25" s="399"/>
      <c r="F25" s="399"/>
      <c r="G25" s="399"/>
      <c r="H25" s="399"/>
      <c r="I25" s="400"/>
    </row>
    <row r="26" spans="1:9" x14ac:dyDescent="0.3">
      <c r="A26" s="398" t="s">
        <v>347</v>
      </c>
      <c r="B26" s="399"/>
      <c r="C26" s="399"/>
      <c r="D26" s="399"/>
      <c r="E26" s="399"/>
      <c r="F26" s="399"/>
      <c r="G26" s="399"/>
      <c r="H26" s="399"/>
      <c r="I26" s="400"/>
    </row>
    <row r="27" spans="1:9" x14ac:dyDescent="0.3">
      <c r="A27" s="398" t="s">
        <v>348</v>
      </c>
      <c r="B27" s="399"/>
      <c r="C27" s="399"/>
      <c r="D27" s="399"/>
      <c r="E27" s="399"/>
      <c r="F27" s="399"/>
      <c r="G27" s="399"/>
      <c r="H27" s="399"/>
      <c r="I27" s="400"/>
    </row>
    <row r="28" spans="1:9" x14ac:dyDescent="0.3">
      <c r="A28" s="398"/>
      <c r="B28" s="399"/>
      <c r="C28" s="399"/>
      <c r="D28" s="399"/>
      <c r="E28" s="399"/>
      <c r="F28" s="399"/>
      <c r="G28" s="399"/>
      <c r="H28" s="399"/>
      <c r="I28" s="400"/>
    </row>
    <row r="29" spans="1:9" x14ac:dyDescent="0.3">
      <c r="A29" s="398" t="s">
        <v>349</v>
      </c>
      <c r="B29" s="399"/>
      <c r="C29" s="399"/>
      <c r="D29" s="399"/>
      <c r="E29" s="399"/>
      <c r="F29" s="399"/>
      <c r="G29" s="428">
        <v>0.75749999999999995</v>
      </c>
      <c r="H29" s="399"/>
      <c r="I29" s="400"/>
    </row>
    <row r="30" spans="1:9" x14ac:dyDescent="0.3">
      <c r="A30" s="398"/>
      <c r="B30" s="399"/>
      <c r="C30" s="399"/>
      <c r="D30" s="399"/>
      <c r="E30" s="399"/>
      <c r="F30" s="399"/>
      <c r="G30" s="429"/>
      <c r="H30" s="399"/>
      <c r="I30" s="400"/>
    </row>
    <row r="31" spans="1:9" x14ac:dyDescent="0.3">
      <c r="A31" s="398" t="s">
        <v>350</v>
      </c>
      <c r="B31" s="399"/>
      <c r="C31" s="399"/>
      <c r="D31" s="399"/>
      <c r="E31" s="399"/>
      <c r="F31" s="399"/>
      <c r="G31" s="429"/>
      <c r="H31" s="399"/>
      <c r="I31" s="400"/>
    </row>
    <row r="32" spans="1:9" x14ac:dyDescent="0.3">
      <c r="A32" s="398" t="s">
        <v>351</v>
      </c>
      <c r="B32" s="399"/>
      <c r="C32" s="399"/>
      <c r="D32" s="399"/>
      <c r="E32" s="399"/>
      <c r="F32" s="399"/>
      <c r="G32" s="429"/>
      <c r="H32" s="399"/>
      <c r="I32" s="400"/>
    </row>
    <row r="33" spans="1:16" x14ac:dyDescent="0.3">
      <c r="A33" s="398"/>
      <c r="B33" s="399"/>
      <c r="C33" s="399"/>
      <c r="D33" s="399"/>
      <c r="E33" s="399"/>
      <c r="F33" s="399"/>
      <c r="G33" s="429"/>
      <c r="H33" s="399"/>
      <c r="I33" s="400"/>
    </row>
    <row r="34" spans="1:16" x14ac:dyDescent="0.3">
      <c r="A34" s="399" t="s">
        <v>352</v>
      </c>
      <c r="B34" s="399"/>
      <c r="C34" s="399"/>
      <c r="D34" s="399"/>
      <c r="E34" s="399"/>
      <c r="F34" s="399"/>
      <c r="G34" s="428">
        <v>0.25</v>
      </c>
      <c r="H34" s="399"/>
      <c r="I34" s="400"/>
    </row>
    <row r="35" spans="1:16" x14ac:dyDescent="0.3">
      <c r="A35" s="398"/>
      <c r="B35" s="399"/>
      <c r="C35" s="399"/>
      <c r="D35" s="399"/>
      <c r="E35" s="399"/>
      <c r="F35" s="399"/>
      <c r="G35" s="429"/>
      <c r="H35" s="399"/>
      <c r="I35" s="400"/>
    </row>
    <row r="36" spans="1:16" x14ac:dyDescent="0.3">
      <c r="A36" s="399" t="s">
        <v>353</v>
      </c>
      <c r="B36" s="399"/>
      <c r="C36" s="399"/>
      <c r="D36" s="399"/>
      <c r="E36" s="399"/>
      <c r="F36" s="399"/>
      <c r="G36" s="428">
        <f>G34*G29</f>
        <v>0.18937499999999999</v>
      </c>
      <c r="H36" s="399"/>
      <c r="I36" s="400"/>
    </row>
    <row r="37" spans="1:16" ht="14.5" thickBot="1" x14ac:dyDescent="0.35">
      <c r="A37" s="401"/>
      <c r="B37" s="401"/>
      <c r="C37" s="401"/>
      <c r="D37" s="401"/>
      <c r="E37" s="401"/>
      <c r="F37" s="401"/>
      <c r="G37" s="401"/>
      <c r="H37" s="401"/>
      <c r="I37" s="402"/>
    </row>
    <row r="40" spans="1:16" x14ac:dyDescent="0.3">
      <c r="A40" s="405" t="s">
        <v>354</v>
      </c>
      <c r="B40" s="406"/>
      <c r="C40" s="406"/>
      <c r="D40" s="406"/>
      <c r="E40" s="406"/>
      <c r="F40" s="406"/>
      <c r="G40" s="406"/>
      <c r="H40" s="405" t="s">
        <v>355</v>
      </c>
      <c r="I40" s="406"/>
      <c r="J40" s="406"/>
      <c r="K40" s="406"/>
      <c r="L40" s="419"/>
      <c r="M40" s="419"/>
      <c r="N40" s="419"/>
      <c r="O40" s="419"/>
      <c r="P40" s="419"/>
    </row>
    <row r="41" spans="1:16" x14ac:dyDescent="0.3">
      <c r="A41" s="406"/>
      <c r="B41" s="406"/>
      <c r="C41" s="406"/>
      <c r="D41" s="406"/>
      <c r="E41" s="406"/>
      <c r="F41" s="406"/>
      <c r="G41" s="406"/>
      <c r="H41" s="406"/>
      <c r="I41" s="406"/>
      <c r="J41" s="406"/>
      <c r="K41" s="406"/>
      <c r="L41" s="419"/>
      <c r="M41" s="419"/>
      <c r="N41" s="419"/>
      <c r="O41" s="419"/>
      <c r="P41" s="419"/>
    </row>
    <row r="42" spans="1:16" x14ac:dyDescent="0.3">
      <c r="A42" s="408" t="s">
        <v>138</v>
      </c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19"/>
      <c r="M42" s="419"/>
      <c r="N42" s="419"/>
      <c r="O42" s="419"/>
      <c r="P42" s="419"/>
    </row>
    <row r="43" spans="1:16" x14ac:dyDescent="0.3">
      <c r="A43" s="406" t="s">
        <v>356</v>
      </c>
      <c r="B43" s="406"/>
      <c r="C43" s="406"/>
      <c r="D43" s="406"/>
      <c r="E43" s="406"/>
      <c r="F43" s="406"/>
      <c r="G43" s="406">
        <v>3</v>
      </c>
      <c r="H43" s="406"/>
      <c r="I43" s="406"/>
      <c r="J43" s="406"/>
      <c r="K43" s="406"/>
      <c r="L43" s="419"/>
      <c r="M43" s="419"/>
      <c r="N43" s="419"/>
      <c r="O43" s="419"/>
      <c r="P43" s="419"/>
    </row>
    <row r="44" spans="1:16" x14ac:dyDescent="0.3">
      <c r="A44" s="406" t="s">
        <v>357</v>
      </c>
      <c r="B44" s="406"/>
      <c r="C44" s="406"/>
      <c r="D44" s="406"/>
      <c r="E44" s="406"/>
      <c r="F44" s="406"/>
      <c r="G44" s="406">
        <v>10</v>
      </c>
      <c r="H44" s="406"/>
      <c r="I44" s="406"/>
      <c r="J44" s="406"/>
      <c r="K44" s="406"/>
      <c r="L44" s="419"/>
      <c r="M44" s="419"/>
      <c r="N44" s="419"/>
      <c r="O44" s="419"/>
      <c r="P44" s="419"/>
    </row>
    <row r="45" spans="1:16" x14ac:dyDescent="0.3">
      <c r="A45" s="406"/>
      <c r="B45" s="406"/>
      <c r="C45" s="406"/>
      <c r="D45" s="406"/>
      <c r="E45" s="406"/>
      <c r="F45" s="406"/>
      <c r="G45" s="406"/>
      <c r="H45" s="406"/>
      <c r="I45" s="406"/>
      <c r="J45" s="406"/>
      <c r="K45" s="406"/>
      <c r="L45" s="419"/>
      <c r="M45" s="419"/>
      <c r="N45" s="419"/>
      <c r="O45" s="419"/>
      <c r="P45" s="419"/>
    </row>
    <row r="46" spans="1:16" x14ac:dyDescent="0.3">
      <c r="A46" s="408" t="s">
        <v>358</v>
      </c>
      <c r="B46" s="406"/>
      <c r="C46" s="406"/>
      <c r="D46" s="406"/>
      <c r="E46" s="406"/>
      <c r="F46" s="406"/>
      <c r="G46" s="406"/>
      <c r="H46" s="406"/>
      <c r="I46" s="406"/>
      <c r="J46" s="406"/>
      <c r="K46" s="406"/>
      <c r="L46" s="419"/>
      <c r="M46" s="419"/>
      <c r="N46" s="419"/>
      <c r="O46" s="419"/>
      <c r="P46" s="419"/>
    </row>
    <row r="47" spans="1:16" x14ac:dyDescent="0.3">
      <c r="A47" s="406" t="s">
        <v>359</v>
      </c>
      <c r="B47" s="406"/>
      <c r="C47" s="406"/>
      <c r="D47" s="406"/>
      <c r="E47" s="406"/>
      <c r="F47" s="406"/>
      <c r="G47" s="407">
        <v>2000</v>
      </c>
      <c r="H47" s="406" t="s">
        <v>360</v>
      </c>
      <c r="I47" s="406"/>
      <c r="J47" s="406"/>
      <c r="K47" s="406"/>
      <c r="L47" s="419"/>
      <c r="M47" s="419"/>
      <c r="N47" s="419"/>
      <c r="O47" s="419"/>
      <c r="P47" s="419"/>
    </row>
    <row r="48" spans="1:16" x14ac:dyDescent="0.3">
      <c r="A48" s="406" t="s">
        <v>361</v>
      </c>
      <c r="B48" s="406"/>
      <c r="C48" s="406"/>
      <c r="D48" s="406"/>
      <c r="E48" s="406"/>
      <c r="F48" s="406"/>
      <c r="G48" s="407">
        <v>5000</v>
      </c>
      <c r="H48" s="406" t="s">
        <v>360</v>
      </c>
      <c r="I48" s="406"/>
      <c r="J48" s="406"/>
      <c r="K48" s="406"/>
      <c r="L48" s="419"/>
      <c r="M48" s="419"/>
      <c r="N48" s="419"/>
      <c r="O48" s="419"/>
      <c r="P48" s="419"/>
    </row>
    <row r="49" spans="1:16" x14ac:dyDescent="0.3">
      <c r="A49" s="406" t="s">
        <v>362</v>
      </c>
      <c r="B49" s="406"/>
      <c r="C49" s="406"/>
      <c r="D49" s="406"/>
      <c r="E49" s="406"/>
      <c r="F49" s="406"/>
      <c r="G49" s="439">
        <v>215000</v>
      </c>
      <c r="H49" s="406" t="s">
        <v>360</v>
      </c>
      <c r="I49" s="406"/>
      <c r="J49" s="406"/>
      <c r="K49" s="406"/>
      <c r="L49" s="419"/>
      <c r="M49" s="419"/>
      <c r="N49" s="419"/>
      <c r="O49" s="419"/>
      <c r="P49" s="419"/>
    </row>
    <row r="50" spans="1:16" x14ac:dyDescent="0.3">
      <c r="A50" s="406" t="s">
        <v>363</v>
      </c>
      <c r="B50" s="406"/>
      <c r="C50" s="406"/>
      <c r="D50" s="406"/>
      <c r="E50" s="406"/>
      <c r="F50" s="406"/>
      <c r="G50" s="439">
        <v>275000</v>
      </c>
      <c r="H50" s="406" t="s">
        <v>360</v>
      </c>
      <c r="I50" s="406"/>
      <c r="J50" s="406"/>
      <c r="K50" s="406"/>
      <c r="L50" s="419"/>
      <c r="M50" s="419"/>
      <c r="N50" s="419"/>
      <c r="O50" s="419"/>
      <c r="P50" s="419"/>
    </row>
    <row r="51" spans="1:16" x14ac:dyDescent="0.3">
      <c r="A51" s="406" t="s">
        <v>364</v>
      </c>
      <c r="B51" s="406"/>
      <c r="C51" s="406"/>
      <c r="D51" s="406"/>
      <c r="E51" s="406"/>
      <c r="F51" s="406"/>
      <c r="G51" s="439">
        <v>170000</v>
      </c>
      <c r="H51" s="406" t="s">
        <v>360</v>
      </c>
      <c r="I51" s="406"/>
      <c r="J51" s="406"/>
      <c r="K51" s="406"/>
      <c r="L51" s="419"/>
      <c r="M51" s="419"/>
      <c r="N51" s="419"/>
      <c r="O51" s="419"/>
      <c r="P51" s="419"/>
    </row>
    <row r="52" spans="1:16" x14ac:dyDescent="0.3">
      <c r="A52" s="406" t="s">
        <v>365</v>
      </c>
      <c r="B52" s="406"/>
      <c r="C52" s="406"/>
      <c r="D52" s="406"/>
      <c r="E52" s="406"/>
      <c r="F52" s="406"/>
      <c r="G52" s="439">
        <v>505000</v>
      </c>
      <c r="H52" s="406" t="s">
        <v>360</v>
      </c>
      <c r="I52" s="406"/>
      <c r="J52" s="406"/>
      <c r="K52" s="406"/>
      <c r="L52" s="419"/>
      <c r="M52" s="419"/>
      <c r="N52" s="419"/>
      <c r="O52" s="419"/>
      <c r="P52" s="419"/>
    </row>
    <row r="53" spans="1:16" x14ac:dyDescent="0.3">
      <c r="A53" s="406"/>
      <c r="B53" s="406"/>
      <c r="C53" s="406"/>
      <c r="D53" s="406"/>
      <c r="E53" s="406"/>
      <c r="F53" s="406"/>
      <c r="G53" s="406"/>
      <c r="H53" s="406"/>
      <c r="I53" s="406"/>
      <c r="J53" s="406"/>
      <c r="K53" s="406"/>
      <c r="L53" s="419"/>
      <c r="M53" s="419"/>
      <c r="N53" s="419"/>
      <c r="O53" s="419"/>
      <c r="P53" s="419"/>
    </row>
    <row r="54" spans="1:16" x14ac:dyDescent="0.3">
      <c r="A54" s="408" t="s">
        <v>366</v>
      </c>
      <c r="B54" s="406"/>
      <c r="C54" s="406"/>
      <c r="D54" s="406"/>
      <c r="E54" s="406"/>
      <c r="F54" s="406"/>
      <c r="G54" s="406"/>
      <c r="H54" s="406"/>
      <c r="I54" s="406"/>
      <c r="J54" s="406"/>
      <c r="K54" s="406"/>
      <c r="L54" s="419"/>
      <c r="M54" s="419"/>
      <c r="N54" s="419"/>
      <c r="O54" s="419"/>
      <c r="P54" s="419"/>
    </row>
    <row r="55" spans="1:16" x14ac:dyDescent="0.3">
      <c r="A55" s="406" t="s">
        <v>359</v>
      </c>
      <c r="B55" s="406"/>
      <c r="C55" s="406"/>
      <c r="D55" s="406"/>
      <c r="E55" s="406"/>
      <c r="F55" s="406"/>
      <c r="G55" s="407">
        <v>2000</v>
      </c>
      <c r="H55" s="406" t="s">
        <v>360</v>
      </c>
      <c r="I55" s="406"/>
      <c r="J55" s="406"/>
      <c r="K55" s="406"/>
      <c r="L55" s="419"/>
      <c r="M55" s="419"/>
      <c r="N55" s="419"/>
      <c r="O55" s="419"/>
      <c r="P55" s="419"/>
    </row>
    <row r="56" spans="1:16" x14ac:dyDescent="0.3">
      <c r="A56" s="406" t="s">
        <v>361</v>
      </c>
      <c r="B56" s="406"/>
      <c r="C56" s="406"/>
      <c r="D56" s="406"/>
      <c r="E56" s="406"/>
      <c r="F56" s="406"/>
      <c r="G56" s="407">
        <v>5000</v>
      </c>
      <c r="H56" s="406" t="s">
        <v>360</v>
      </c>
      <c r="I56" s="406"/>
      <c r="J56" s="406"/>
      <c r="K56" s="406"/>
      <c r="L56" s="419"/>
      <c r="M56" s="419"/>
      <c r="N56" s="419"/>
      <c r="O56" s="419"/>
      <c r="P56" s="419"/>
    </row>
    <row r="57" spans="1:16" x14ac:dyDescent="0.3">
      <c r="A57" s="406" t="s">
        <v>367</v>
      </c>
      <c r="B57" s="406"/>
      <c r="C57" s="406"/>
      <c r="D57" s="406"/>
      <c r="E57" s="406"/>
      <c r="F57" s="406"/>
      <c r="G57" s="439">
        <v>0</v>
      </c>
      <c r="H57" s="406"/>
      <c r="I57" s="406"/>
      <c r="J57" s="406"/>
      <c r="K57" s="406"/>
      <c r="L57" s="419"/>
      <c r="M57" s="419"/>
      <c r="N57" s="419"/>
      <c r="O57" s="419"/>
      <c r="P57" s="419"/>
    </row>
    <row r="58" spans="1:16" x14ac:dyDescent="0.3">
      <c r="A58" s="406" t="s">
        <v>368</v>
      </c>
      <c r="B58" s="406"/>
      <c r="C58" s="406"/>
      <c r="D58" s="406"/>
      <c r="E58" s="406"/>
      <c r="F58" s="406"/>
      <c r="G58" s="439">
        <v>505000</v>
      </c>
      <c r="H58" s="406"/>
      <c r="I58" s="406"/>
      <c r="J58" s="406"/>
      <c r="K58" s="406"/>
      <c r="L58" s="419"/>
      <c r="M58" s="419"/>
      <c r="N58" s="419"/>
      <c r="O58" s="419"/>
      <c r="P58" s="419"/>
    </row>
    <row r="59" spans="1:16" x14ac:dyDescent="0.3">
      <c r="A59" s="406"/>
      <c r="B59" s="406"/>
      <c r="C59" s="406"/>
      <c r="D59" s="406"/>
      <c r="E59" s="406"/>
      <c r="F59" s="406"/>
      <c r="G59" s="406"/>
      <c r="H59" s="406"/>
      <c r="I59" s="406"/>
      <c r="J59" s="406"/>
      <c r="K59" s="406"/>
      <c r="L59" s="419"/>
      <c r="M59" s="419"/>
      <c r="N59" s="419"/>
      <c r="O59" s="419"/>
      <c r="P59" s="419"/>
    </row>
    <row r="60" spans="1:16" x14ac:dyDescent="0.3">
      <c r="A60" s="408" t="s">
        <v>369</v>
      </c>
      <c r="B60" s="406"/>
      <c r="C60" s="406"/>
      <c r="D60" s="406"/>
      <c r="E60" s="406"/>
      <c r="F60" s="406"/>
      <c r="G60" s="406"/>
      <c r="H60" s="406"/>
      <c r="I60" s="406"/>
      <c r="J60" s="406"/>
      <c r="K60" s="406"/>
      <c r="L60" s="419"/>
      <c r="M60" s="419"/>
      <c r="N60" s="419"/>
      <c r="O60" s="419"/>
      <c r="P60" s="419"/>
    </row>
    <row r="61" spans="1:16" x14ac:dyDescent="0.3">
      <c r="A61" s="406" t="s">
        <v>370</v>
      </c>
      <c r="B61" s="406"/>
      <c r="C61" s="406"/>
      <c r="D61" s="406"/>
      <c r="E61" s="406"/>
      <c r="F61" s="406"/>
      <c r="G61" s="410">
        <v>1500</v>
      </c>
      <c r="H61" s="406" t="s">
        <v>371</v>
      </c>
      <c r="I61" s="406"/>
      <c r="J61" s="406"/>
      <c r="K61" s="406"/>
      <c r="L61" s="419"/>
      <c r="M61" s="419"/>
      <c r="N61" s="419"/>
      <c r="O61" s="419"/>
      <c r="P61" s="419"/>
    </row>
    <row r="62" spans="1:16" x14ac:dyDescent="0.3">
      <c r="A62" s="406" t="s">
        <v>372</v>
      </c>
      <c r="B62" s="406"/>
      <c r="C62" s="406"/>
      <c r="D62" s="406"/>
      <c r="E62" s="406"/>
      <c r="F62" s="406"/>
      <c r="G62" s="440">
        <v>1.63</v>
      </c>
      <c r="H62" s="406" t="s">
        <v>480</v>
      </c>
      <c r="I62" s="406"/>
      <c r="J62" s="406"/>
      <c r="K62" s="406"/>
      <c r="L62" s="419"/>
      <c r="M62" s="419"/>
      <c r="N62" s="419"/>
      <c r="O62" s="419"/>
      <c r="P62" s="419"/>
    </row>
    <row r="63" spans="1:16" x14ac:dyDescent="0.3">
      <c r="A63" s="406" t="s">
        <v>374</v>
      </c>
      <c r="B63" s="406"/>
      <c r="C63" s="406"/>
      <c r="D63" s="406"/>
      <c r="E63" s="406"/>
      <c r="F63" s="406"/>
      <c r="G63" s="440">
        <v>1.94</v>
      </c>
      <c r="H63" s="406" t="s">
        <v>373</v>
      </c>
      <c r="I63" s="406"/>
      <c r="J63" s="406"/>
      <c r="K63" s="406"/>
      <c r="L63" s="419"/>
      <c r="M63" s="419"/>
      <c r="N63" s="419"/>
      <c r="O63" s="419"/>
      <c r="P63" s="419"/>
    </row>
    <row r="64" spans="1:16" x14ac:dyDescent="0.3">
      <c r="A64" s="406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19"/>
      <c r="M64" s="419"/>
      <c r="N64" s="419"/>
      <c r="O64" s="419"/>
      <c r="P64" s="419"/>
    </row>
    <row r="65" spans="1:16" x14ac:dyDescent="0.3">
      <c r="A65" s="406"/>
      <c r="B65" s="406"/>
      <c r="C65" s="406"/>
      <c r="D65" s="406"/>
      <c r="E65" s="406"/>
      <c r="F65" s="406"/>
      <c r="G65" s="406"/>
      <c r="H65" s="406"/>
      <c r="I65" s="406"/>
      <c r="J65" s="406"/>
      <c r="K65" s="406"/>
      <c r="L65" s="419"/>
      <c r="M65" s="419"/>
      <c r="N65" s="419"/>
      <c r="O65" s="419"/>
      <c r="P65" s="419"/>
    </row>
    <row r="66" spans="1:16" x14ac:dyDescent="0.3">
      <c r="A66" s="406"/>
      <c r="B66" s="406"/>
      <c r="C66" s="406"/>
      <c r="D66" s="406"/>
      <c r="E66" s="406"/>
      <c r="F66" s="406"/>
      <c r="G66" s="406"/>
      <c r="H66" s="406"/>
      <c r="I66" s="406"/>
      <c r="J66" s="406"/>
      <c r="K66" s="406"/>
      <c r="L66" s="419"/>
      <c r="M66" s="419"/>
      <c r="N66" s="419"/>
      <c r="O66" s="419"/>
      <c r="P66" s="419"/>
    </row>
    <row r="68" spans="1:16" x14ac:dyDescent="0.3">
      <c r="A68" s="417" t="s">
        <v>375</v>
      </c>
      <c r="B68" s="418"/>
      <c r="C68" s="418"/>
      <c r="D68" s="418"/>
      <c r="E68" s="418"/>
      <c r="F68" s="418"/>
      <c r="G68" s="418"/>
      <c r="H68" s="418"/>
      <c r="I68" s="418"/>
      <c r="J68" s="418"/>
      <c r="K68" s="418"/>
    </row>
    <row r="69" spans="1:16" x14ac:dyDescent="0.3">
      <c r="A69" s="418"/>
      <c r="B69" s="418"/>
      <c r="C69" s="418"/>
      <c r="D69" s="418"/>
      <c r="E69" s="418"/>
      <c r="F69" s="418"/>
      <c r="G69" s="418"/>
      <c r="H69" s="418"/>
      <c r="I69" s="418"/>
      <c r="J69" s="418"/>
      <c r="K69" s="418"/>
    </row>
    <row r="70" spans="1:16" x14ac:dyDescent="0.3">
      <c r="A70" s="418" t="s">
        <v>141</v>
      </c>
      <c r="B70" s="418"/>
      <c r="C70" s="418"/>
      <c r="D70" s="418"/>
      <c r="E70" s="418"/>
      <c r="F70" s="418"/>
      <c r="G70" s="418"/>
      <c r="H70" s="418"/>
      <c r="I70" s="418"/>
      <c r="J70" s="418"/>
      <c r="K70" s="418"/>
    </row>
    <row r="71" spans="1:16" x14ac:dyDescent="0.3">
      <c r="A71" s="418" t="s">
        <v>376</v>
      </c>
      <c r="B71" s="418"/>
      <c r="C71" s="418"/>
      <c r="D71" s="418"/>
      <c r="E71" s="418"/>
      <c r="F71" s="418"/>
      <c r="G71" s="480">
        <v>-10</v>
      </c>
      <c r="H71" s="418" t="s">
        <v>377</v>
      </c>
      <c r="I71" s="418"/>
      <c r="J71" s="418"/>
      <c r="K71" s="418"/>
    </row>
    <row r="72" spans="1:16" x14ac:dyDescent="0.3">
      <c r="A72" s="418" t="s">
        <v>378</v>
      </c>
      <c r="B72" s="418"/>
      <c r="C72" s="418"/>
      <c r="D72" s="418"/>
      <c r="E72" s="418"/>
      <c r="F72" s="418"/>
      <c r="G72" s="479">
        <v>10</v>
      </c>
      <c r="H72" s="418" t="s">
        <v>377</v>
      </c>
      <c r="I72" s="418"/>
      <c r="J72" s="418"/>
      <c r="K72" s="418"/>
    </row>
    <row r="73" spans="1:16" x14ac:dyDescent="0.3">
      <c r="A73" s="418"/>
      <c r="B73" s="418"/>
      <c r="C73" s="418"/>
      <c r="D73" s="418"/>
      <c r="E73" s="418"/>
      <c r="F73" s="418"/>
      <c r="G73" s="418"/>
      <c r="H73" s="418"/>
      <c r="I73" s="418"/>
      <c r="J73" s="418"/>
      <c r="K73" s="418"/>
    </row>
    <row r="74" spans="1:16" x14ac:dyDescent="0.3">
      <c r="A74" s="418" t="s">
        <v>142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418"/>
    </row>
    <row r="75" spans="1:16" x14ac:dyDescent="0.3">
      <c r="A75" s="418" t="s">
        <v>376</v>
      </c>
      <c r="B75" s="418"/>
      <c r="C75" s="418"/>
      <c r="D75" s="418"/>
      <c r="E75" s="418"/>
      <c r="F75" s="418"/>
      <c r="G75" s="440">
        <v>0</v>
      </c>
      <c r="H75" s="418" t="s">
        <v>382</v>
      </c>
      <c r="I75" s="418"/>
      <c r="J75" s="418"/>
      <c r="K75" s="418"/>
    </row>
    <row r="76" spans="1:16" x14ac:dyDescent="0.3">
      <c r="A76" s="418" t="s">
        <v>379</v>
      </c>
      <c r="B76" s="418"/>
      <c r="C76" s="418"/>
      <c r="D76" s="418"/>
      <c r="E76" s="418"/>
      <c r="F76" s="418"/>
      <c r="G76" s="440">
        <v>30</v>
      </c>
      <c r="H76" s="418" t="s">
        <v>382</v>
      </c>
      <c r="I76" s="418"/>
      <c r="J76" s="418"/>
      <c r="K76" s="418"/>
    </row>
    <row r="77" spans="1:16" x14ac:dyDescent="0.3">
      <c r="A77" s="418"/>
      <c r="B77" s="418"/>
      <c r="C77" s="418"/>
      <c r="D77" s="418"/>
      <c r="E77" s="418"/>
      <c r="F77" s="418"/>
      <c r="G77" s="418"/>
      <c r="H77" s="418"/>
      <c r="I77" s="418"/>
      <c r="J77" s="418"/>
      <c r="K77" s="418"/>
    </row>
    <row r="78" spans="1:16" x14ac:dyDescent="0.3">
      <c r="A78" s="418" t="s">
        <v>143</v>
      </c>
      <c r="B78" s="418"/>
      <c r="C78" s="418"/>
      <c r="D78" s="418"/>
      <c r="E78" s="418"/>
      <c r="F78" s="418"/>
      <c r="G78" s="418"/>
      <c r="H78" s="418"/>
      <c r="I78" s="418"/>
      <c r="J78" s="418"/>
      <c r="K78" s="418"/>
    </row>
    <row r="79" spans="1:16" x14ac:dyDescent="0.3">
      <c r="A79" s="418" t="s">
        <v>376</v>
      </c>
      <c r="B79" s="418"/>
      <c r="C79" s="418"/>
      <c r="D79" s="418"/>
      <c r="E79" s="418"/>
      <c r="F79" s="418"/>
      <c r="G79" s="440">
        <v>3</v>
      </c>
      <c r="H79" s="418" t="s">
        <v>380</v>
      </c>
      <c r="I79" s="418"/>
      <c r="J79" s="418"/>
      <c r="K79" s="418"/>
    </row>
    <row r="80" spans="1:16" x14ac:dyDescent="0.3">
      <c r="A80" s="418" t="s">
        <v>378</v>
      </c>
      <c r="B80" s="418"/>
      <c r="C80" s="418"/>
      <c r="D80" s="418"/>
      <c r="E80" s="418"/>
      <c r="F80" s="418"/>
      <c r="G80" s="440">
        <v>15</v>
      </c>
      <c r="H80" s="418" t="s">
        <v>380</v>
      </c>
      <c r="I80" s="418"/>
      <c r="J80" s="418"/>
      <c r="K80" s="418"/>
    </row>
    <row r="81" spans="1:11" x14ac:dyDescent="0.3">
      <c r="A81" s="418"/>
      <c r="B81" s="418"/>
      <c r="C81" s="418"/>
      <c r="D81" s="418"/>
      <c r="E81" s="418"/>
      <c r="F81" s="418"/>
      <c r="G81" s="418"/>
      <c r="H81" s="418"/>
      <c r="I81" s="418"/>
      <c r="J81" s="418"/>
      <c r="K81" s="418"/>
    </row>
    <row r="82" spans="1:11" x14ac:dyDescent="0.3">
      <c r="A82" s="418" t="s">
        <v>144</v>
      </c>
      <c r="B82" s="418"/>
      <c r="C82" s="418"/>
      <c r="D82" s="418"/>
      <c r="E82" s="418"/>
      <c r="F82" s="418"/>
      <c r="G82" s="418"/>
      <c r="H82" s="418"/>
      <c r="I82" s="418"/>
      <c r="J82" s="418"/>
      <c r="K82" s="418"/>
    </row>
    <row r="83" spans="1:11" x14ac:dyDescent="0.3">
      <c r="A83" s="418" t="s">
        <v>381</v>
      </c>
      <c r="B83" s="418"/>
      <c r="C83" s="418"/>
      <c r="D83" s="418"/>
      <c r="E83" s="418"/>
      <c r="F83" s="418"/>
      <c r="G83" s="440">
        <v>1.35</v>
      </c>
      <c r="H83" s="418" t="s">
        <v>382</v>
      </c>
      <c r="I83" s="418"/>
      <c r="J83" s="418"/>
      <c r="K83" s="418"/>
    </row>
    <row r="84" spans="1:11" x14ac:dyDescent="0.3">
      <c r="A84" s="418" t="s">
        <v>379</v>
      </c>
      <c r="B84" s="418"/>
      <c r="C84" s="418"/>
      <c r="D84" s="418"/>
      <c r="E84" s="418"/>
      <c r="F84" s="418"/>
      <c r="G84" s="440">
        <v>6</v>
      </c>
      <c r="H84" s="418" t="s">
        <v>382</v>
      </c>
      <c r="I84" s="418"/>
      <c r="J84" s="418"/>
      <c r="K84" s="418"/>
    </row>
  </sheetData>
  <mergeCells count="13">
    <mergeCell ref="A18:F18"/>
    <mergeCell ref="A19:F19"/>
    <mergeCell ref="A22:F22"/>
    <mergeCell ref="A8:F8"/>
    <mergeCell ref="A9:F9"/>
    <mergeCell ref="A11:F11"/>
    <mergeCell ref="A12:F12"/>
    <mergeCell ref="A13:F13"/>
    <mergeCell ref="A3:G3"/>
    <mergeCell ref="A7:G7"/>
    <mergeCell ref="A15:F15"/>
    <mergeCell ref="A16:F16"/>
    <mergeCell ref="A17:F17"/>
  </mergeCells>
  <hyperlinks>
    <hyperlink ref="A6" r:id="rId1" display="https://static1.squarespace.com/static/5877e86f9de4bb8bce72105c/t/62fb89dfb827c92c3340eed9/1660652049933/Boiler+Electrification-final+Rev2.pdf" xr:uid="{AEF0AF5C-B83B-4909-87B2-C62CAFC5F00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6874-074D-41B6-82F0-1B2E7BC986C7}">
  <sheetPr>
    <tabColor theme="9"/>
  </sheetPr>
  <dimension ref="A1:C14"/>
  <sheetViews>
    <sheetView showGridLines="0" zoomScale="80" zoomScaleNormal="80" workbookViewId="0">
      <pane ySplit="7" topLeftCell="A8" activePane="bottomLeft" state="frozen"/>
      <selection pane="bottomLeft" activeCell="B40" sqref="B40"/>
    </sheetView>
  </sheetViews>
  <sheetFormatPr defaultRowHeight="14" x14ac:dyDescent="0.3"/>
  <cols>
    <col min="1" max="1" width="3.69921875" customWidth="1"/>
    <col min="2" max="2" width="36.3984375" customWidth="1"/>
    <col min="3" max="3" width="28.09765625" customWidth="1"/>
  </cols>
  <sheetData>
    <row r="1" spans="1:3" s="2" customFormat="1" ht="68.25" customHeight="1" x14ac:dyDescent="0.3">
      <c r="A1" s="1"/>
      <c r="C1" s="118" t="s">
        <v>383</v>
      </c>
    </row>
    <row r="2" spans="1:3" ht="14.5" thickBot="1" x14ac:dyDescent="0.35"/>
    <row r="3" spans="1:3" x14ac:dyDescent="0.3">
      <c r="B3" s="42" t="s">
        <v>9</v>
      </c>
      <c r="C3" s="127">
        <f>'2. Facility Emissions'!C5</f>
        <v>0</v>
      </c>
    </row>
    <row r="4" spans="1:3" x14ac:dyDescent="0.3">
      <c r="B4" s="125" t="s">
        <v>10</v>
      </c>
      <c r="C4" s="128">
        <f>'2. Facility Emissions'!C6</f>
        <v>0</v>
      </c>
    </row>
    <row r="5" spans="1:3" x14ac:dyDescent="0.3">
      <c r="B5" s="43" t="s">
        <v>17</v>
      </c>
      <c r="C5" s="48">
        <v>2019</v>
      </c>
    </row>
    <row r="6" spans="1:3" ht="14.5" thickBot="1" x14ac:dyDescent="0.35">
      <c r="B6" s="44" t="s">
        <v>18</v>
      </c>
      <c r="C6" s="126">
        <f>'2. Facility Emissions'!C8</f>
        <v>2023</v>
      </c>
    </row>
    <row r="11" spans="1:3" s="6" customFormat="1" x14ac:dyDescent="0.3">
      <c r="A11" s="5" t="s">
        <v>114</v>
      </c>
      <c r="B11" s="5"/>
    </row>
    <row r="14" spans="1:3" x14ac:dyDescent="0.3">
      <c r="B14" s="332" t="s">
        <v>384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460E-AE02-4FE5-AAFA-A133896534B5}">
  <sheetPr>
    <tabColor theme="9"/>
  </sheetPr>
  <dimension ref="A1:C9"/>
  <sheetViews>
    <sheetView showGridLines="0" zoomScale="80" zoomScaleNormal="80" workbookViewId="0">
      <pane ySplit="7" topLeftCell="A29" activePane="bottomLeft" state="frozen"/>
      <selection pane="bottomLeft" activeCell="T34" sqref="T34"/>
    </sheetView>
  </sheetViews>
  <sheetFormatPr defaultRowHeight="14" x14ac:dyDescent="0.3"/>
  <cols>
    <col min="2" max="2" width="32.09765625" customWidth="1"/>
    <col min="3" max="3" width="22.3984375" customWidth="1"/>
    <col min="14" max="14" width="9.8984375" bestFit="1" customWidth="1"/>
    <col min="15" max="15" width="20.8984375" bestFit="1" customWidth="1"/>
    <col min="16" max="16" width="8.8984375" customWidth="1"/>
    <col min="17" max="17" width="11.3984375" customWidth="1"/>
    <col min="18" max="18" width="10.8984375" customWidth="1"/>
  </cols>
  <sheetData>
    <row r="1" spans="1:3" s="2" customFormat="1" ht="68.25" customHeight="1" x14ac:dyDescent="0.3">
      <c r="A1" s="1"/>
      <c r="C1" s="118" t="s">
        <v>385</v>
      </c>
    </row>
    <row r="2" spans="1:3" ht="14.5" thickBot="1" x14ac:dyDescent="0.35"/>
    <row r="3" spans="1:3" x14ac:dyDescent="0.3">
      <c r="B3" s="42" t="s">
        <v>9</v>
      </c>
      <c r="C3" s="127">
        <f>'2. Facility Emissions'!C5</f>
        <v>0</v>
      </c>
    </row>
    <row r="4" spans="1:3" x14ac:dyDescent="0.3">
      <c r="B4" s="125" t="s">
        <v>10</v>
      </c>
      <c r="C4" s="128">
        <f>'2. Facility Emissions'!C6</f>
        <v>0</v>
      </c>
    </row>
    <row r="5" spans="1:3" x14ac:dyDescent="0.3">
      <c r="B5" s="43" t="s">
        <v>17</v>
      </c>
      <c r="C5" s="48">
        <v>2019</v>
      </c>
    </row>
    <row r="6" spans="1:3" ht="14.5" thickBot="1" x14ac:dyDescent="0.35">
      <c r="B6" s="44" t="s">
        <v>18</v>
      </c>
      <c r="C6" s="126">
        <f>'2. Facility Emissions'!C8</f>
        <v>2023</v>
      </c>
    </row>
    <row r="9" spans="1:3" s="6" customFormat="1" x14ac:dyDescent="0.3">
      <c r="A9" s="5" t="s">
        <v>35</v>
      </c>
      <c r="B9" s="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37E1-0495-423E-9467-55C4B9AC41D1}">
  <sheetPr>
    <tabColor theme="9"/>
  </sheetPr>
  <dimension ref="A1:AG259"/>
  <sheetViews>
    <sheetView zoomScale="85" zoomScaleNormal="85" workbookViewId="0">
      <selection activeCell="G163" sqref="G163"/>
    </sheetView>
  </sheetViews>
  <sheetFormatPr defaultColWidth="10.296875" defaultRowHeight="14" x14ac:dyDescent="0.3"/>
  <cols>
    <col min="1" max="1" width="1.8984375" style="3" customWidth="1"/>
    <col min="2" max="2" width="51.8984375" style="3" customWidth="1"/>
    <col min="3" max="34" width="16.3984375" style="3" customWidth="1"/>
    <col min="35" max="35" width="13.09765625" style="3" customWidth="1"/>
    <col min="36" max="36" width="12.59765625" style="3" bestFit="1" customWidth="1"/>
    <col min="37" max="37" width="10.296875" style="3"/>
    <col min="38" max="38" width="14.8984375" style="3" bestFit="1" customWidth="1"/>
    <col min="39" max="39" width="12" style="3" bestFit="1" customWidth="1"/>
    <col min="40" max="40" width="11.3984375" style="3" bestFit="1" customWidth="1"/>
    <col min="41" max="16384" width="10.296875" style="3"/>
  </cols>
  <sheetData>
    <row r="1" spans="1:5" s="2" customFormat="1" ht="42" customHeight="1" x14ac:dyDescent="0.3">
      <c r="A1" s="1"/>
      <c r="B1" s="146" t="s">
        <v>386</v>
      </c>
    </row>
    <row r="2" spans="1:5" ht="14.5" thickBot="1" x14ac:dyDescent="0.35">
      <c r="B2" s="4" t="s">
        <v>387</v>
      </c>
    </row>
    <row r="3" spans="1:5" ht="14.5" thickBot="1" x14ac:dyDescent="0.35">
      <c r="B3" s="147" t="str">
        <f>[1]Main!B3</f>
        <v>Transcontinental</v>
      </c>
      <c r="C3" s="3" t="s">
        <v>388</v>
      </c>
    </row>
    <row r="5" spans="1:5" s="6" customFormat="1" x14ac:dyDescent="0.3">
      <c r="A5" s="5" t="s">
        <v>389</v>
      </c>
    </row>
    <row r="6" spans="1:5" x14ac:dyDescent="0.3">
      <c r="A6" s="3" t="s">
        <v>390</v>
      </c>
    </row>
    <row r="7" spans="1:5" ht="14.5" thickBot="1" x14ac:dyDescent="0.35"/>
    <row r="8" spans="1:5" ht="14.25" customHeight="1" x14ac:dyDescent="0.3">
      <c r="B8" s="586" t="s">
        <v>391</v>
      </c>
      <c r="C8" s="588" t="s">
        <v>392</v>
      </c>
      <c r="D8" s="569"/>
    </row>
    <row r="9" spans="1:5" s="13" customFormat="1" ht="15" customHeight="1" thickBot="1" x14ac:dyDescent="0.35">
      <c r="B9" s="587"/>
      <c r="C9" s="148" t="s">
        <v>393</v>
      </c>
      <c r="D9" s="149" t="s">
        <v>394</v>
      </c>
    </row>
    <row r="10" spans="1:5" x14ac:dyDescent="0.3">
      <c r="B10" s="150" t="s">
        <v>395</v>
      </c>
      <c r="C10" s="151" t="s">
        <v>396</v>
      </c>
      <c r="D10" s="152" t="s">
        <v>396</v>
      </c>
      <c r="E10" s="4" t="s">
        <v>397</v>
      </c>
    </row>
    <row r="11" spans="1:5" x14ac:dyDescent="0.3">
      <c r="B11" s="153" t="s">
        <v>398</v>
      </c>
      <c r="C11" s="154" t="s">
        <v>396</v>
      </c>
      <c r="D11" s="155" t="s">
        <v>396</v>
      </c>
      <c r="E11" s="4" t="s">
        <v>399</v>
      </c>
    </row>
    <row r="12" spans="1:5" x14ac:dyDescent="0.3">
      <c r="B12" s="153" t="s">
        <v>400</v>
      </c>
      <c r="C12" s="154" t="s">
        <v>396</v>
      </c>
      <c r="D12" s="156" t="s">
        <v>125</v>
      </c>
      <c r="E12" s="4" t="s">
        <v>399</v>
      </c>
    </row>
    <row r="13" spans="1:5" ht="14.5" thickBot="1" x14ac:dyDescent="0.35">
      <c r="B13" s="157" t="s">
        <v>401</v>
      </c>
      <c r="C13" s="158" t="s">
        <v>396</v>
      </c>
      <c r="D13" s="159" t="s">
        <v>125</v>
      </c>
      <c r="E13" s="4" t="s">
        <v>399</v>
      </c>
    </row>
    <row r="15" spans="1:5" s="161" customFormat="1" x14ac:dyDescent="0.3">
      <c r="A15" s="160" t="s">
        <v>402</v>
      </c>
    </row>
    <row r="16" spans="1:5" x14ac:dyDescent="0.3">
      <c r="A16" s="3" t="s">
        <v>403</v>
      </c>
    </row>
    <row r="18" spans="1:13" ht="14.5" thickBot="1" x14ac:dyDescent="0.35">
      <c r="A18" s="7" t="s">
        <v>393</v>
      </c>
    </row>
    <row r="19" spans="1:13" ht="14.5" thickBot="1" x14ac:dyDescent="0.35">
      <c r="A19" s="7"/>
      <c r="B19" s="162" t="s">
        <v>404</v>
      </c>
      <c r="C19" s="163">
        <v>2021</v>
      </c>
      <c r="D19" s="164">
        <v>2022</v>
      </c>
      <c r="E19" s="163">
        <v>2023</v>
      </c>
      <c r="F19" s="164">
        <v>2024</v>
      </c>
      <c r="G19" s="163">
        <v>2025</v>
      </c>
      <c r="H19" s="164">
        <v>2026</v>
      </c>
      <c r="I19" s="163">
        <v>2027</v>
      </c>
      <c r="J19" s="164">
        <v>2028</v>
      </c>
      <c r="K19" s="163">
        <v>2029</v>
      </c>
      <c r="L19" s="165">
        <v>2030</v>
      </c>
    </row>
    <row r="20" spans="1:13" x14ac:dyDescent="0.3">
      <c r="A20" s="7"/>
      <c r="B20" s="166" t="s">
        <v>405</v>
      </c>
      <c r="C20" s="167">
        <f>'[1]Goal Scenarios'!F27</f>
        <v>182841</v>
      </c>
      <c r="D20" s="168">
        <f>'[1]Goal Scenarios'!G27</f>
        <v>195908.37987167147</v>
      </c>
      <c r="E20" s="168">
        <f>'[1]Goal Scenarios'!H27</f>
        <v>184320.94497370414</v>
      </c>
      <c r="F20" s="168">
        <f>'[1]Goal Scenarios'!I27</f>
        <v>186891.77607711899</v>
      </c>
      <c r="G20" s="168">
        <f>'[1]Goal Scenarios'!J27</f>
        <v>187840.46652044033</v>
      </c>
      <c r="H20" s="168">
        <f>'[1]Goal Scenarios'!K27</f>
        <v>189290.6950444231</v>
      </c>
      <c r="I20" s="168">
        <f>'[1]Goal Scenarios'!L27</f>
        <v>190946.22111829172</v>
      </c>
      <c r="J20" s="168">
        <f>'[1]Goal Scenarios'!M27</f>
        <v>193016.84839686891</v>
      </c>
      <c r="K20" s="168">
        <f>'[1]Goal Scenarios'!N27</f>
        <v>195222.58151909281</v>
      </c>
      <c r="L20" s="169">
        <f>'[1]Goal Scenarios'!O27</f>
        <v>197563.75905838635</v>
      </c>
    </row>
    <row r="21" spans="1:13" x14ac:dyDescent="0.3">
      <c r="A21" s="7"/>
      <c r="B21" s="170" t="s">
        <v>406</v>
      </c>
      <c r="C21" s="171">
        <f>'[1]Goal Scenarios'!F34</f>
        <v>182841</v>
      </c>
      <c r="D21" s="172">
        <f>'[1]Goal Scenarios'!G34</f>
        <v>174308.42</v>
      </c>
      <c r="E21" s="172">
        <f>'[1]Goal Scenarios'!H34</f>
        <v>165775.84</v>
      </c>
      <c r="F21" s="172">
        <f>'[1]Goal Scenarios'!I34</f>
        <v>157243.26</v>
      </c>
      <c r="G21" s="172">
        <f>'[1]Goal Scenarios'!J34</f>
        <v>148710.68</v>
      </c>
      <c r="H21" s="172">
        <f>'[1]Goal Scenarios'!K34</f>
        <v>140178.1</v>
      </c>
      <c r="I21" s="172">
        <f>'[1]Goal Scenarios'!L34</f>
        <v>131645.52000000002</v>
      </c>
      <c r="J21" s="172">
        <f>'[1]Goal Scenarios'!M34</f>
        <v>123112.94</v>
      </c>
      <c r="K21" s="172">
        <f>'[1]Goal Scenarios'!N34</f>
        <v>114580.36</v>
      </c>
      <c r="L21" s="173">
        <f>'[1]Goal Scenarios'!O34</f>
        <v>106047.78</v>
      </c>
    </row>
    <row r="22" spans="1:13" ht="14.5" thickBot="1" x14ac:dyDescent="0.35">
      <c r="B22" s="174" t="s">
        <v>407</v>
      </c>
      <c r="C22" s="175">
        <f>C21</f>
        <v>182841</v>
      </c>
      <c r="D22" s="176">
        <f t="shared" ref="D22:L22" si="0">D21</f>
        <v>174308.42</v>
      </c>
      <c r="E22" s="176">
        <f t="shared" si="0"/>
        <v>165775.84</v>
      </c>
      <c r="F22" s="176">
        <f t="shared" si="0"/>
        <v>157243.26</v>
      </c>
      <c r="G22" s="176">
        <f t="shared" si="0"/>
        <v>148710.68</v>
      </c>
      <c r="H22" s="176">
        <f t="shared" si="0"/>
        <v>140178.1</v>
      </c>
      <c r="I22" s="176">
        <f t="shared" si="0"/>
        <v>131645.52000000002</v>
      </c>
      <c r="J22" s="176">
        <f t="shared" si="0"/>
        <v>123112.94</v>
      </c>
      <c r="K22" s="176">
        <f t="shared" si="0"/>
        <v>114580.36</v>
      </c>
      <c r="L22" s="177">
        <f t="shared" si="0"/>
        <v>106047.78</v>
      </c>
    </row>
    <row r="23" spans="1:13" x14ac:dyDescent="0.3">
      <c r="B23" s="178" t="s">
        <v>395</v>
      </c>
      <c r="C23" s="167">
        <f t="shared" ref="C23:L23" si="1">C76</f>
        <v>0</v>
      </c>
      <c r="D23" s="168">
        <f t="shared" si="1"/>
        <v>0</v>
      </c>
      <c r="E23" s="168">
        <f t="shared" si="1"/>
        <v>1534.6128242360846</v>
      </c>
      <c r="F23" s="168">
        <f t="shared" si="1"/>
        <v>3069.2256484721693</v>
      </c>
      <c r="G23" s="168">
        <f t="shared" si="1"/>
        <v>4603.8384727082539</v>
      </c>
      <c r="H23" s="168">
        <f t="shared" si="1"/>
        <v>6138.4512969443385</v>
      </c>
      <c r="I23" s="168">
        <f t="shared" si="1"/>
        <v>7673.0641211804232</v>
      </c>
      <c r="J23" s="168">
        <f t="shared" si="1"/>
        <v>9207.6769454165078</v>
      </c>
      <c r="K23" s="168">
        <f t="shared" si="1"/>
        <v>10742.289769652592</v>
      </c>
      <c r="L23" s="169">
        <f t="shared" si="1"/>
        <v>12276.902593888677</v>
      </c>
      <c r="M23" s="179">
        <f>L23/SUM(L$23:L$26)</f>
        <v>0.13415037155485302</v>
      </c>
    </row>
    <row r="24" spans="1:13" x14ac:dyDescent="0.3">
      <c r="B24" s="153" t="s">
        <v>398</v>
      </c>
      <c r="C24" s="171">
        <f>C108</f>
        <v>0</v>
      </c>
      <c r="D24" s="172">
        <f t="shared" ref="D24:L24" si="2">D108</f>
        <v>0</v>
      </c>
      <c r="E24" s="172">
        <f t="shared" si="2"/>
        <v>2280.313579926014</v>
      </c>
      <c r="F24" s="172">
        <f t="shared" si="2"/>
        <v>4560.6271598520279</v>
      </c>
      <c r="G24" s="172">
        <f t="shared" si="2"/>
        <v>6840.9407397780415</v>
      </c>
      <c r="H24" s="172">
        <f t="shared" si="2"/>
        <v>9121.2543197040559</v>
      </c>
      <c r="I24" s="172">
        <f t="shared" si="2"/>
        <v>11401.56789963007</v>
      </c>
      <c r="J24" s="172">
        <f t="shared" si="2"/>
        <v>13681.881479556083</v>
      </c>
      <c r="K24" s="172">
        <f t="shared" si="2"/>
        <v>15962.195059482097</v>
      </c>
      <c r="L24" s="173">
        <f t="shared" si="2"/>
        <v>18242.508639408112</v>
      </c>
      <c r="M24" s="179">
        <f t="shared" ref="M24:M26" si="3">L24/SUM(L$23:L$26)</f>
        <v>0.19933686802137099</v>
      </c>
    </row>
    <row r="25" spans="1:13" x14ac:dyDescent="0.3">
      <c r="B25" s="180" t="s">
        <v>400</v>
      </c>
      <c r="C25" s="171">
        <f>C129</f>
        <v>0</v>
      </c>
      <c r="D25" s="172">
        <f t="shared" ref="D25:L25" si="4">D129</f>
        <v>0</v>
      </c>
      <c r="E25" s="172">
        <f t="shared" si="4"/>
        <v>0</v>
      </c>
      <c r="F25" s="172">
        <f t="shared" si="4"/>
        <v>0</v>
      </c>
      <c r="G25" s="172">
        <f t="shared" si="4"/>
        <v>0</v>
      </c>
      <c r="H25" s="172">
        <f t="shared" si="4"/>
        <v>10839.634946432565</v>
      </c>
      <c r="I25" s="172">
        <f t="shared" si="4"/>
        <v>21679.26989286513</v>
      </c>
      <c r="J25" s="172">
        <f t="shared" si="4"/>
        <v>32518.904839297698</v>
      </c>
      <c r="K25" s="172">
        <f t="shared" si="4"/>
        <v>43358.53978573026</v>
      </c>
      <c r="L25" s="173">
        <f t="shared" si="4"/>
        <v>54198.174732162828</v>
      </c>
      <c r="M25" s="179">
        <f t="shared" si="3"/>
        <v>0.59222635532954193</v>
      </c>
    </row>
    <row r="26" spans="1:13" ht="14.5" thickBot="1" x14ac:dyDescent="0.35">
      <c r="B26" s="181" t="s">
        <v>401</v>
      </c>
      <c r="C26" s="175">
        <f>C150</f>
        <v>0</v>
      </c>
      <c r="D26" s="176">
        <f t="shared" ref="D26:L26" si="5">D150</f>
        <v>0</v>
      </c>
      <c r="E26" s="176">
        <f t="shared" si="5"/>
        <v>0</v>
      </c>
      <c r="F26" s="176">
        <f t="shared" si="5"/>
        <v>0</v>
      </c>
      <c r="G26" s="176">
        <f t="shared" si="5"/>
        <v>0</v>
      </c>
      <c r="H26" s="176">
        <f t="shared" si="5"/>
        <v>1359.6786185853468</v>
      </c>
      <c r="I26" s="176">
        <f t="shared" si="5"/>
        <v>2719.3572371706937</v>
      </c>
      <c r="J26" s="176">
        <f t="shared" si="5"/>
        <v>4079.0358557560403</v>
      </c>
      <c r="K26" s="176">
        <f t="shared" si="5"/>
        <v>5438.7144743413874</v>
      </c>
      <c r="L26" s="177">
        <f t="shared" si="5"/>
        <v>6798.3930929267344</v>
      </c>
      <c r="M26" s="179">
        <f t="shared" si="3"/>
        <v>7.428640509423412E-2</v>
      </c>
    </row>
    <row r="27" spans="1:13" ht="14.5" thickBot="1" x14ac:dyDescent="0.35">
      <c r="B27" s="182" t="s">
        <v>408</v>
      </c>
      <c r="C27" s="183">
        <f>MAX(0, (C20-C21)-SUM(C23:C26))</f>
        <v>0</v>
      </c>
      <c r="D27" s="184">
        <f t="shared" ref="D27:K27" si="6">MAX(0, (D20-D21)-SUM(D23:D26))</f>
        <v>21599.959871671454</v>
      </c>
      <c r="E27" s="184">
        <f t="shared" si="6"/>
        <v>14730.178569542048</v>
      </c>
      <c r="F27" s="184">
        <f t="shared" si="6"/>
        <v>22018.663268794786</v>
      </c>
      <c r="G27" s="184">
        <f t="shared" si="6"/>
        <v>27685.007307954038</v>
      </c>
      <c r="H27" s="184">
        <f t="shared" si="6"/>
        <v>21653.575862756796</v>
      </c>
      <c r="I27" s="184">
        <f t="shared" si="6"/>
        <v>15827.441967445389</v>
      </c>
      <c r="J27" s="184">
        <f t="shared" si="6"/>
        <v>10416.409276842576</v>
      </c>
      <c r="K27" s="184">
        <f t="shared" si="6"/>
        <v>5140.4824298864842</v>
      </c>
      <c r="L27" s="185">
        <f>MAX(0, (L20-L21)-SUM(L23:L26))</f>
        <v>0</v>
      </c>
    </row>
    <row r="28" spans="1:13" ht="14.5" thickBot="1" x14ac:dyDescent="0.35">
      <c r="B28" s="162" t="s">
        <v>409</v>
      </c>
      <c r="C28" s="163">
        <v>2021</v>
      </c>
      <c r="D28" s="164">
        <v>2022</v>
      </c>
      <c r="E28" s="163">
        <v>2023</v>
      </c>
      <c r="F28" s="164">
        <v>2024</v>
      </c>
      <c r="G28" s="163">
        <v>2025</v>
      </c>
      <c r="H28" s="164">
        <v>2026</v>
      </c>
      <c r="I28" s="163">
        <v>2027</v>
      </c>
      <c r="J28" s="164">
        <v>2028</v>
      </c>
      <c r="K28" s="163">
        <v>2029</v>
      </c>
      <c r="L28" s="165">
        <v>2030</v>
      </c>
    </row>
    <row r="29" spans="1:13" x14ac:dyDescent="0.3">
      <c r="B29" s="178" t="s">
        <v>395</v>
      </c>
      <c r="C29" s="186" t="str">
        <f t="shared" ref="C29:L29" si="7">C79</f>
        <v>-</v>
      </c>
      <c r="D29" s="187">
        <f t="shared" si="7"/>
        <v>0</v>
      </c>
      <c r="E29" s="187">
        <f t="shared" si="7"/>
        <v>2.4008233550644947E-2</v>
      </c>
      <c r="F29" s="187">
        <f t="shared" si="7"/>
        <v>5.0417290456354388E-2</v>
      </c>
      <c r="G29" s="187">
        <f t="shared" si="7"/>
        <v>7.9407232468758152E-2</v>
      </c>
      <c r="H29" s="187">
        <f t="shared" si="7"/>
        <v>0.1111701254562614</v>
      </c>
      <c r="I29" s="187">
        <f t="shared" si="7"/>
        <v>0.1459107896613431</v>
      </c>
      <c r="J29" s="187">
        <f t="shared" si="7"/>
        <v>0.18384759497329231</v>
      </c>
      <c r="K29" s="187">
        <f t="shared" si="7"/>
        <v>0.22521330384228308</v>
      </c>
      <c r="L29" s="188">
        <f t="shared" si="7"/>
        <v>0.27025596461073975</v>
      </c>
    </row>
    <row r="30" spans="1:13" x14ac:dyDescent="0.3">
      <c r="B30" s="153" t="s">
        <v>398</v>
      </c>
      <c r="C30" s="189">
        <f t="shared" ref="C30:L30" si="8">C110</f>
        <v>0</v>
      </c>
      <c r="D30" s="190">
        <f t="shared" si="8"/>
        <v>0</v>
      </c>
      <c r="E30" s="190">
        <f t="shared" si="8"/>
        <v>-4.509511416144734E-2</v>
      </c>
      <c r="F30" s="190">
        <f t="shared" si="8"/>
        <v>-9.0190228322894681E-2</v>
      </c>
      <c r="G30" s="190">
        <f t="shared" si="8"/>
        <v>-0.13528534248434201</v>
      </c>
      <c r="H30" s="190">
        <f t="shared" si="8"/>
        <v>-0.18038045664578936</v>
      </c>
      <c r="I30" s="190">
        <f t="shared" si="8"/>
        <v>-0.22547557080723671</v>
      </c>
      <c r="J30" s="190">
        <f t="shared" si="8"/>
        <v>-0.27057068496868403</v>
      </c>
      <c r="K30" s="190">
        <f t="shared" si="8"/>
        <v>-0.31566579913013137</v>
      </c>
      <c r="L30" s="191">
        <f t="shared" si="8"/>
        <v>-0.36076091329157872</v>
      </c>
    </row>
    <row r="31" spans="1:13" x14ac:dyDescent="0.3">
      <c r="B31" s="180" t="s">
        <v>400</v>
      </c>
      <c r="C31" s="192" t="str">
        <f t="shared" ref="C31:L31" si="9">C131</f>
        <v>N/A</v>
      </c>
      <c r="D31" s="193" t="str">
        <f t="shared" si="9"/>
        <v>N/A</v>
      </c>
      <c r="E31" s="193" t="str">
        <f t="shared" si="9"/>
        <v>N/A</v>
      </c>
      <c r="F31" s="193" t="str">
        <f t="shared" si="9"/>
        <v>N/A</v>
      </c>
      <c r="G31" s="193" t="str">
        <f t="shared" si="9"/>
        <v>N/A</v>
      </c>
      <c r="H31" s="193" t="str">
        <f t="shared" si="9"/>
        <v>N/A</v>
      </c>
      <c r="I31" s="193" t="str">
        <f t="shared" si="9"/>
        <v>N/A</v>
      </c>
      <c r="J31" s="193" t="str">
        <f t="shared" si="9"/>
        <v>N/A</v>
      </c>
      <c r="K31" s="193" t="str">
        <f t="shared" si="9"/>
        <v>N/A</v>
      </c>
      <c r="L31" s="194" t="str">
        <f t="shared" si="9"/>
        <v>N/A</v>
      </c>
    </row>
    <row r="32" spans="1:13" ht="14.5" thickBot="1" x14ac:dyDescent="0.35">
      <c r="B32" s="181" t="s">
        <v>401</v>
      </c>
      <c r="C32" s="195">
        <f t="shared" ref="C32:L32" si="10">C152</f>
        <v>0</v>
      </c>
      <c r="D32" s="196">
        <f t="shared" si="10"/>
        <v>0</v>
      </c>
      <c r="E32" s="196">
        <f t="shared" si="10"/>
        <v>0</v>
      </c>
      <c r="F32" s="196">
        <f t="shared" si="10"/>
        <v>0</v>
      </c>
      <c r="G32" s="196">
        <f t="shared" si="10"/>
        <v>0</v>
      </c>
      <c r="H32" s="196">
        <f t="shared" si="10"/>
        <v>0.74374420436618482</v>
      </c>
      <c r="I32" s="196">
        <f t="shared" si="10"/>
        <v>1.4874884087323696</v>
      </c>
      <c r="J32" s="196">
        <f t="shared" si="10"/>
        <v>2.231232613098554</v>
      </c>
      <c r="K32" s="196">
        <f t="shared" si="10"/>
        <v>2.9749768174647393</v>
      </c>
      <c r="L32" s="197">
        <f t="shared" si="10"/>
        <v>3.7187210218309237</v>
      </c>
    </row>
    <row r="33" spans="1:13" ht="14.5" thickBot="1" x14ac:dyDescent="0.35">
      <c r="B33" s="198" t="s">
        <v>410</v>
      </c>
      <c r="C33" s="199">
        <f t="shared" ref="C33:L33" si="11">SUM(C29:C32)</f>
        <v>0</v>
      </c>
      <c r="D33" s="200">
        <f t="shared" si="11"/>
        <v>0</v>
      </c>
      <c r="E33" s="200">
        <f t="shared" si="11"/>
        <v>-2.1086880610802394E-2</v>
      </c>
      <c r="F33" s="200">
        <f t="shared" si="11"/>
        <v>-3.9772937866540292E-2</v>
      </c>
      <c r="G33" s="200">
        <f t="shared" si="11"/>
        <v>-5.5878110015583862E-2</v>
      </c>
      <c r="H33" s="200">
        <f t="shared" si="11"/>
        <v>0.67453387317665681</v>
      </c>
      <c r="I33" s="200">
        <f t="shared" si="11"/>
        <v>1.4079236275864759</v>
      </c>
      <c r="J33" s="200">
        <f t="shared" si="11"/>
        <v>2.1445095231031623</v>
      </c>
      <c r="K33" s="200">
        <f t="shared" si="11"/>
        <v>2.8845243221768908</v>
      </c>
      <c r="L33" s="201">
        <f t="shared" si="11"/>
        <v>3.6282160731500848</v>
      </c>
    </row>
    <row r="34" spans="1:13" x14ac:dyDescent="0.3">
      <c r="L34" s="3">
        <f>SUM(E32:L32)/SUM(E33:L33)</f>
        <v>1.0501925168154913</v>
      </c>
    </row>
    <row r="35" spans="1:13" ht="14.5" thickBot="1" x14ac:dyDescent="0.35">
      <c r="A35" s="7" t="s">
        <v>394</v>
      </c>
      <c r="K35" s="179">
        <f>-L32/L33</f>
        <v>-1.024944751595861</v>
      </c>
    </row>
    <row r="36" spans="1:13" ht="14.5" thickBot="1" x14ac:dyDescent="0.35">
      <c r="A36" s="7"/>
      <c r="B36" s="162" t="s">
        <v>404</v>
      </c>
      <c r="C36" s="163">
        <v>2021</v>
      </c>
      <c r="D36" s="164">
        <v>2022</v>
      </c>
      <c r="E36" s="163">
        <v>2023</v>
      </c>
      <c r="F36" s="164">
        <v>2024</v>
      </c>
      <c r="G36" s="163">
        <v>2025</v>
      </c>
      <c r="H36" s="164">
        <v>2026</v>
      </c>
      <c r="I36" s="163">
        <v>2027</v>
      </c>
      <c r="J36" s="164">
        <v>2028</v>
      </c>
      <c r="K36" s="163">
        <v>2029</v>
      </c>
      <c r="L36" s="165">
        <v>2030</v>
      </c>
    </row>
    <row r="37" spans="1:13" x14ac:dyDescent="0.3">
      <c r="A37" s="7"/>
      <c r="B37" s="166" t="s">
        <v>405</v>
      </c>
      <c r="C37" s="167">
        <f>'[1]Goal Scenarios'!F27</f>
        <v>182841</v>
      </c>
      <c r="D37" s="168">
        <f>'[1]Goal Scenarios'!G27</f>
        <v>195908.37987167147</v>
      </c>
      <c r="E37" s="168">
        <f>'[1]Goal Scenarios'!H27</f>
        <v>184320.94497370414</v>
      </c>
      <c r="F37" s="168">
        <f>'[1]Goal Scenarios'!I27</f>
        <v>186891.77607711899</v>
      </c>
      <c r="G37" s="168">
        <f>'[1]Goal Scenarios'!J27</f>
        <v>187840.46652044033</v>
      </c>
      <c r="H37" s="168">
        <f>'[1]Goal Scenarios'!K27</f>
        <v>189290.6950444231</v>
      </c>
      <c r="I37" s="168">
        <f>'[1]Goal Scenarios'!L27</f>
        <v>190946.22111829172</v>
      </c>
      <c r="J37" s="168">
        <f>'[1]Goal Scenarios'!M27</f>
        <v>193016.84839686891</v>
      </c>
      <c r="K37" s="168">
        <f>'[1]Goal Scenarios'!N27</f>
        <v>195222.58151909281</v>
      </c>
      <c r="L37" s="169">
        <f>'[1]Goal Scenarios'!O27</f>
        <v>197563.75905838635</v>
      </c>
    </row>
    <row r="38" spans="1:13" x14ac:dyDescent="0.3">
      <c r="A38" s="7"/>
      <c r="B38" s="170" t="s">
        <v>406</v>
      </c>
      <c r="C38" s="171">
        <f>'[1]Goal Scenarios'!F34</f>
        <v>182841</v>
      </c>
      <c r="D38" s="172">
        <f>'[1]Goal Scenarios'!G34</f>
        <v>174308.42</v>
      </c>
      <c r="E38" s="172">
        <f>'[1]Goal Scenarios'!H34</f>
        <v>165775.84</v>
      </c>
      <c r="F38" s="172">
        <f>'[1]Goal Scenarios'!I34</f>
        <v>157243.26</v>
      </c>
      <c r="G38" s="172">
        <f>'[1]Goal Scenarios'!J34</f>
        <v>148710.68</v>
      </c>
      <c r="H38" s="172">
        <f>'[1]Goal Scenarios'!K34</f>
        <v>140178.1</v>
      </c>
      <c r="I38" s="172">
        <f>'[1]Goal Scenarios'!L34</f>
        <v>131645.52000000002</v>
      </c>
      <c r="J38" s="172">
        <f>'[1]Goal Scenarios'!M34</f>
        <v>123112.94</v>
      </c>
      <c r="K38" s="172">
        <f>'[1]Goal Scenarios'!N34</f>
        <v>114580.36</v>
      </c>
      <c r="L38" s="173">
        <f>'[1]Goal Scenarios'!O34</f>
        <v>106047.78</v>
      </c>
    </row>
    <row r="39" spans="1:13" ht="14.5" thickBot="1" x14ac:dyDescent="0.35">
      <c r="B39" s="174" t="s">
        <v>407</v>
      </c>
      <c r="C39" s="175">
        <f>C38</f>
        <v>182841</v>
      </c>
      <c r="D39" s="176">
        <f t="shared" ref="D39:L39" si="12">D38</f>
        <v>174308.42</v>
      </c>
      <c r="E39" s="176">
        <f t="shared" si="12"/>
        <v>165775.84</v>
      </c>
      <c r="F39" s="176">
        <f t="shared" si="12"/>
        <v>157243.26</v>
      </c>
      <c r="G39" s="176">
        <f t="shared" si="12"/>
        <v>148710.68</v>
      </c>
      <c r="H39" s="176">
        <f t="shared" si="12"/>
        <v>140178.1</v>
      </c>
      <c r="I39" s="176">
        <f t="shared" si="12"/>
        <v>131645.52000000002</v>
      </c>
      <c r="J39" s="176">
        <f t="shared" si="12"/>
        <v>123112.94</v>
      </c>
      <c r="K39" s="176">
        <f t="shared" si="12"/>
        <v>114580.36</v>
      </c>
      <c r="L39" s="177">
        <f t="shared" si="12"/>
        <v>106047.78</v>
      </c>
    </row>
    <row r="40" spans="1:13" x14ac:dyDescent="0.3">
      <c r="B40" s="178" t="s">
        <v>395</v>
      </c>
      <c r="C40" s="167">
        <f t="shared" ref="C40:K40" si="13">C86</f>
        <v>0</v>
      </c>
      <c r="D40" s="168">
        <f t="shared" si="13"/>
        <v>0</v>
      </c>
      <c r="E40" s="168">
        <f t="shared" si="13"/>
        <v>9159.1838023722794</v>
      </c>
      <c r="F40" s="168">
        <f t="shared" si="13"/>
        <v>18318.367604744559</v>
      </c>
      <c r="G40" s="168">
        <f t="shared" si="13"/>
        <v>27477.551407116836</v>
      </c>
      <c r="H40" s="168">
        <f t="shared" si="13"/>
        <v>36636.735209489118</v>
      </c>
      <c r="I40" s="168">
        <f t="shared" si="13"/>
        <v>45795.919011861399</v>
      </c>
      <c r="J40" s="168">
        <f t="shared" si="13"/>
        <v>54955.10281423368</v>
      </c>
      <c r="K40" s="168">
        <f t="shared" si="13"/>
        <v>64114.286616605961</v>
      </c>
      <c r="L40" s="169">
        <f>L86</f>
        <v>73273.470418978235</v>
      </c>
      <c r="M40" s="3">
        <f>L40/(L40+L41)</f>
        <v>0.80066313197862893</v>
      </c>
    </row>
    <row r="41" spans="1:13" ht="14.5" thickBot="1" x14ac:dyDescent="0.35">
      <c r="B41" s="153" t="s">
        <v>398</v>
      </c>
      <c r="C41" s="171">
        <f>C108</f>
        <v>0</v>
      </c>
      <c r="D41" s="172">
        <f t="shared" ref="D41:L41" si="14">D108</f>
        <v>0</v>
      </c>
      <c r="E41" s="172">
        <f t="shared" si="14"/>
        <v>2280.313579926014</v>
      </c>
      <c r="F41" s="172">
        <f t="shared" si="14"/>
        <v>4560.6271598520279</v>
      </c>
      <c r="G41" s="172">
        <f t="shared" si="14"/>
        <v>6840.9407397780415</v>
      </c>
      <c r="H41" s="172">
        <f t="shared" si="14"/>
        <v>9121.2543197040559</v>
      </c>
      <c r="I41" s="172">
        <f t="shared" si="14"/>
        <v>11401.56789963007</v>
      </c>
      <c r="J41" s="172">
        <f t="shared" si="14"/>
        <v>13681.881479556083</v>
      </c>
      <c r="K41" s="172">
        <f t="shared" si="14"/>
        <v>15962.195059482097</v>
      </c>
      <c r="L41" s="173">
        <f t="shared" si="14"/>
        <v>18242.508639408112</v>
      </c>
    </row>
    <row r="42" spans="1:13" ht="14.5" thickBot="1" x14ac:dyDescent="0.35">
      <c r="B42" s="182" t="s">
        <v>408</v>
      </c>
      <c r="C42" s="183">
        <f t="shared" ref="C42:L42" si="15">MAX(0, (C37-C38)-SUM(C40:C41))</f>
        <v>0</v>
      </c>
      <c r="D42" s="184">
        <f t="shared" si="15"/>
        <v>21599.959871671454</v>
      </c>
      <c r="E42" s="184">
        <f t="shared" si="15"/>
        <v>7105.6075914058529</v>
      </c>
      <c r="F42" s="184">
        <f t="shared" si="15"/>
        <v>6769.5213125223963</v>
      </c>
      <c r="G42" s="184">
        <f t="shared" si="15"/>
        <v>4811.294373545461</v>
      </c>
      <c r="H42" s="184">
        <f t="shared" si="15"/>
        <v>3354.6055152299232</v>
      </c>
      <c r="I42" s="184">
        <f t="shared" si="15"/>
        <v>2103.2142068002358</v>
      </c>
      <c r="J42" s="184">
        <f t="shared" si="15"/>
        <v>1266.9241030791454</v>
      </c>
      <c r="K42" s="184">
        <f t="shared" si="15"/>
        <v>565.73984300474694</v>
      </c>
      <c r="L42" s="185">
        <f t="shared" si="15"/>
        <v>0</v>
      </c>
    </row>
    <row r="43" spans="1:13" ht="14.5" thickBot="1" x14ac:dyDescent="0.35">
      <c r="B43" s="162" t="s">
        <v>409</v>
      </c>
      <c r="C43" s="163">
        <v>2021</v>
      </c>
      <c r="D43" s="164">
        <v>2022</v>
      </c>
      <c r="E43" s="163">
        <v>2023</v>
      </c>
      <c r="F43" s="164">
        <v>2024</v>
      </c>
      <c r="G43" s="163">
        <v>2025</v>
      </c>
      <c r="H43" s="164">
        <v>2026</v>
      </c>
      <c r="I43" s="163">
        <v>2027</v>
      </c>
      <c r="J43" s="164">
        <v>2028</v>
      </c>
      <c r="K43" s="163">
        <v>2029</v>
      </c>
      <c r="L43" s="165">
        <v>2030</v>
      </c>
    </row>
    <row r="44" spans="1:13" x14ac:dyDescent="0.3">
      <c r="B44" s="178" t="s">
        <v>395</v>
      </c>
      <c r="C44" s="186" t="str">
        <f>C89</f>
        <v>-</v>
      </c>
      <c r="D44" s="187">
        <f t="shared" ref="D44:L44" si="16">D89</f>
        <v>0</v>
      </c>
      <c r="E44" s="187">
        <f t="shared" si="16"/>
        <v>0.14329075085769591</v>
      </c>
      <c r="F44" s="187">
        <f t="shared" si="16"/>
        <v>0.30091057680116146</v>
      </c>
      <c r="G44" s="187">
        <f t="shared" si="16"/>
        <v>0.47393415846182918</v>
      </c>
      <c r="H44" s="187">
        <f t="shared" si="16"/>
        <v>0.66350782184656087</v>
      </c>
      <c r="I44" s="187">
        <f t="shared" si="16"/>
        <v>0.87085401617361125</v>
      </c>
      <c r="J44" s="187">
        <f t="shared" si="16"/>
        <v>1.0972760603787501</v>
      </c>
      <c r="K44" s="187">
        <f t="shared" si="16"/>
        <v>1.3441631739639694</v>
      </c>
      <c r="L44" s="188">
        <f t="shared" si="16"/>
        <v>1.6129958087567628</v>
      </c>
    </row>
    <row r="45" spans="1:13" ht="14.5" thickBot="1" x14ac:dyDescent="0.35">
      <c r="B45" s="153" t="s">
        <v>398</v>
      </c>
      <c r="C45" s="189">
        <f>C110</f>
        <v>0</v>
      </c>
      <c r="D45" s="190">
        <f t="shared" ref="D45:L45" si="17">D110</f>
        <v>0</v>
      </c>
      <c r="E45" s="190">
        <f t="shared" si="17"/>
        <v>-4.509511416144734E-2</v>
      </c>
      <c r="F45" s="190">
        <f t="shared" si="17"/>
        <v>-9.0190228322894681E-2</v>
      </c>
      <c r="G45" s="190">
        <f t="shared" si="17"/>
        <v>-0.13528534248434201</v>
      </c>
      <c r="H45" s="190">
        <f t="shared" si="17"/>
        <v>-0.18038045664578936</v>
      </c>
      <c r="I45" s="190">
        <f t="shared" si="17"/>
        <v>-0.22547557080723671</v>
      </c>
      <c r="J45" s="190">
        <f t="shared" si="17"/>
        <v>-0.27057068496868403</v>
      </c>
      <c r="K45" s="190">
        <f t="shared" si="17"/>
        <v>-0.31566579913013137</v>
      </c>
      <c r="L45" s="191">
        <f t="shared" si="17"/>
        <v>-0.36076091329157872</v>
      </c>
    </row>
    <row r="46" spans="1:13" ht="14.5" thickBot="1" x14ac:dyDescent="0.35">
      <c r="B46" s="198" t="s">
        <v>410</v>
      </c>
      <c r="C46" s="199">
        <f t="shared" ref="C46:L46" si="18">SUM(C44:C45)</f>
        <v>0</v>
      </c>
      <c r="D46" s="200">
        <f t="shared" si="18"/>
        <v>0</v>
      </c>
      <c r="E46" s="200">
        <f t="shared" si="18"/>
        <v>9.8195636696248562E-2</v>
      </c>
      <c r="F46" s="200">
        <f t="shared" si="18"/>
        <v>0.21072034847826676</v>
      </c>
      <c r="G46" s="200">
        <f t="shared" si="18"/>
        <v>0.33864881597748719</v>
      </c>
      <c r="H46" s="200">
        <f t="shared" si="18"/>
        <v>0.48312736520077149</v>
      </c>
      <c r="I46" s="200">
        <f t="shared" si="18"/>
        <v>0.64537844536637456</v>
      </c>
      <c r="J46" s="200">
        <f t="shared" si="18"/>
        <v>0.82670537541006617</v>
      </c>
      <c r="K46" s="200">
        <f t="shared" si="18"/>
        <v>1.028497374833838</v>
      </c>
      <c r="L46" s="201">
        <f t="shared" si="18"/>
        <v>1.2522348954651841</v>
      </c>
    </row>
    <row r="48" spans="1:13" x14ac:dyDescent="0.3">
      <c r="E48" s="11">
        <f>SUM(E40:E41)</f>
        <v>11439.497382298294</v>
      </c>
      <c r="F48" s="11">
        <f t="shared" ref="F48:L48" si="19">SUM(F40:F41)</f>
        <v>22878.994764596588</v>
      </c>
      <c r="G48" s="11">
        <f t="shared" si="19"/>
        <v>34318.492146894874</v>
      </c>
      <c r="H48" s="11">
        <f t="shared" si="19"/>
        <v>45757.989529193175</v>
      </c>
      <c r="I48" s="11">
        <f t="shared" si="19"/>
        <v>57197.486911491469</v>
      </c>
      <c r="J48" s="11">
        <f t="shared" si="19"/>
        <v>68636.984293789763</v>
      </c>
      <c r="K48" s="11">
        <f t="shared" si="19"/>
        <v>80076.481676088064</v>
      </c>
      <c r="L48" s="11">
        <f t="shared" si="19"/>
        <v>91515.979058386351</v>
      </c>
    </row>
    <row r="51" spans="1:33" x14ac:dyDescent="0.3">
      <c r="D51" s="11"/>
      <c r="E51" s="11"/>
      <c r="F51" s="11"/>
      <c r="G51" s="11"/>
      <c r="H51" s="11"/>
      <c r="I51" s="11"/>
      <c r="J51" s="11"/>
      <c r="K51" s="11"/>
      <c r="L51" s="11"/>
    </row>
    <row r="57" spans="1:33" s="6" customFormat="1" x14ac:dyDescent="0.3">
      <c r="A57" s="5" t="s">
        <v>395</v>
      </c>
    </row>
    <row r="58" spans="1:33" x14ac:dyDescent="0.3">
      <c r="A58" s="3" t="s">
        <v>411</v>
      </c>
    </row>
    <row r="59" spans="1:33" x14ac:dyDescent="0.3">
      <c r="A59" s="4"/>
    </row>
    <row r="60" spans="1:33" x14ac:dyDescent="0.3">
      <c r="A60" s="4"/>
    </row>
    <row r="61" spans="1:33" ht="14.5" thickBot="1" x14ac:dyDescent="0.35">
      <c r="A61" s="7"/>
    </row>
    <row r="62" spans="1:33" ht="14.5" thickBot="1" x14ac:dyDescent="0.35">
      <c r="A62" s="4"/>
      <c r="B62" s="202" t="s">
        <v>404</v>
      </c>
      <c r="C62" s="203">
        <v>2021</v>
      </c>
      <c r="D62" s="15">
        <v>2022</v>
      </c>
      <c r="E62" s="15">
        <v>2023</v>
      </c>
      <c r="F62" s="15">
        <v>2024</v>
      </c>
      <c r="G62" s="15">
        <v>2025</v>
      </c>
      <c r="H62" s="15">
        <v>2026</v>
      </c>
      <c r="I62" s="15">
        <v>2027</v>
      </c>
      <c r="J62" s="15">
        <v>2028</v>
      </c>
      <c r="K62" s="15">
        <v>2029</v>
      </c>
      <c r="L62" s="204">
        <v>2030</v>
      </c>
    </row>
    <row r="63" spans="1:33" ht="14.5" thickBot="1" x14ac:dyDescent="0.35">
      <c r="A63" s="4"/>
      <c r="B63" s="205" t="s">
        <v>412</v>
      </c>
      <c r="C63" s="206">
        <f>'[1]Goal Scenarios'!F$25</f>
        <v>89864</v>
      </c>
      <c r="D63" s="207">
        <f>'[1]Goal Scenarios'!G$25</f>
        <v>96146.243559337221</v>
      </c>
      <c r="E63" s="207">
        <f>'[1]Goal Scenarios'!H$25</f>
        <v>90032.702323303412</v>
      </c>
      <c r="F63" s="207">
        <f>'[1]Goal Scenarios'!I$25</f>
        <v>92057.042941626612</v>
      </c>
      <c r="G63" s="207">
        <f>'[1]Goal Scenarios'!J$25</f>
        <v>93264.987679977494</v>
      </c>
      <c r="H63" s="207">
        <f>'[1]Goal Scenarios'!K$25</f>
        <v>94673.215443110166</v>
      </c>
      <c r="I63" s="207">
        <f>'[1]Goal Scenarios'!L$25</f>
        <v>96161.523721094345</v>
      </c>
      <c r="J63" s="207">
        <f>'[1]Goal Scenarios'!M$25</f>
        <v>97787.451753794696</v>
      </c>
      <c r="K63" s="207">
        <f>'[1]Goal Scenarios'!N$25</f>
        <v>99475.588309524464</v>
      </c>
      <c r="L63" s="208">
        <f>'[1]Goal Scenarios'!O$25</f>
        <v>101226.63806032803</v>
      </c>
      <c r="M63" s="4" t="s">
        <v>413</v>
      </c>
    </row>
    <row r="64" spans="1:33" ht="14.5" thickBot="1" x14ac:dyDescent="0.35"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14.5" thickBot="1" x14ac:dyDescent="0.35">
      <c r="B65" s="209" t="s">
        <v>414</v>
      </c>
      <c r="C65" s="210">
        <f>'[1]Inventory Summary'!F18/'[1]Inventory Summary'!N18</f>
        <v>0.23692048900774906</v>
      </c>
      <c r="D65" s="211" t="s">
        <v>415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14.5" thickBot="1" x14ac:dyDescent="0.35"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14.5" thickBot="1" x14ac:dyDescent="0.35">
      <c r="B67" s="202" t="s">
        <v>416</v>
      </c>
      <c r="C67" s="203">
        <v>2021</v>
      </c>
      <c r="D67" s="15">
        <v>2022</v>
      </c>
      <c r="E67" s="15">
        <v>2023</v>
      </c>
      <c r="F67" s="15">
        <v>2024</v>
      </c>
      <c r="G67" s="15">
        <v>2025</v>
      </c>
      <c r="H67" s="15">
        <v>2026</v>
      </c>
      <c r="I67" s="15">
        <v>2027</v>
      </c>
      <c r="J67" s="15">
        <v>2028</v>
      </c>
      <c r="K67" s="15">
        <v>2029</v>
      </c>
      <c r="L67" s="204">
        <v>2030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x14ac:dyDescent="0.3">
      <c r="B68" s="212" t="s">
        <v>417</v>
      </c>
      <c r="C68" s="213" t="s">
        <v>125</v>
      </c>
      <c r="D68" s="214">
        <v>3.53</v>
      </c>
      <c r="E68" s="214">
        <f>D68*(1+E69)</f>
        <v>3.7065000000000001</v>
      </c>
      <c r="F68" s="214">
        <f t="shared" ref="F68:L68" si="20">E68*(1+F69)</f>
        <v>3.8918250000000003</v>
      </c>
      <c r="G68" s="214">
        <f t="shared" si="20"/>
        <v>4.0864162500000001</v>
      </c>
      <c r="H68" s="214">
        <f t="shared" si="20"/>
        <v>4.2907370624999999</v>
      </c>
      <c r="I68" s="214">
        <f t="shared" si="20"/>
        <v>4.5052739156249997</v>
      </c>
      <c r="J68" s="214">
        <f t="shared" si="20"/>
        <v>4.7305376114062501</v>
      </c>
      <c r="K68" s="214">
        <f t="shared" si="20"/>
        <v>4.9670644919765632</v>
      </c>
      <c r="L68" s="215">
        <f t="shared" si="20"/>
        <v>5.2154177165753914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ht="14.5" thickBot="1" x14ac:dyDescent="0.35">
      <c r="B69" s="216" t="s">
        <v>418</v>
      </c>
      <c r="C69" s="217"/>
      <c r="D69" s="218"/>
      <c r="E69" s="218">
        <v>0.05</v>
      </c>
      <c r="F69" s="218">
        <v>0.05</v>
      </c>
      <c r="G69" s="218">
        <v>0.05</v>
      </c>
      <c r="H69" s="218">
        <v>0.05</v>
      </c>
      <c r="I69" s="218">
        <v>0.05</v>
      </c>
      <c r="J69" s="218">
        <v>0.05</v>
      </c>
      <c r="K69" s="218">
        <v>0.05</v>
      </c>
      <c r="L69" s="219">
        <v>0.05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x14ac:dyDescent="0.3">
      <c r="E70" s="220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ht="14.5" thickBot="1" x14ac:dyDescent="0.35">
      <c r="A71" s="7" t="s">
        <v>393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ht="14.5" thickBot="1" x14ac:dyDescent="0.35">
      <c r="B72" s="202" t="s">
        <v>404</v>
      </c>
      <c r="C72" s="203">
        <v>2021</v>
      </c>
      <c r="D72" s="15">
        <v>2022</v>
      </c>
      <c r="E72" s="15">
        <v>2023</v>
      </c>
      <c r="F72" s="15">
        <v>2024</v>
      </c>
      <c r="G72" s="15">
        <v>2025</v>
      </c>
      <c r="H72" s="15">
        <v>2026</v>
      </c>
      <c r="I72" s="15">
        <v>2027</v>
      </c>
      <c r="J72" s="15">
        <v>2028</v>
      </c>
      <c r="K72" s="15">
        <v>2029</v>
      </c>
      <c r="L72" s="204">
        <v>2030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ht="14.5" thickBot="1" x14ac:dyDescent="0.35">
      <c r="A73" s="4"/>
      <c r="B73" s="221" t="s">
        <v>419</v>
      </c>
      <c r="C73" s="206">
        <f>C63-C107-C149</f>
        <v>89864</v>
      </c>
      <c r="D73" s="207">
        <f t="shared" ref="D73:K73" si="21">D63-D107-D149</f>
        <v>96146.243559337221</v>
      </c>
      <c r="E73" s="207">
        <f t="shared" si="21"/>
        <v>87945.995391302509</v>
      </c>
      <c r="F73" s="207">
        <f t="shared" si="21"/>
        <v>87883.629077624821</v>
      </c>
      <c r="G73" s="207">
        <f t="shared" si="21"/>
        <v>87004.866883974813</v>
      </c>
      <c r="H73" s="207">
        <f t="shared" si="21"/>
        <v>86416.689334522249</v>
      </c>
      <c r="I73" s="207">
        <f t="shared" si="21"/>
        <v>85908.592299921205</v>
      </c>
      <c r="J73" s="207">
        <f t="shared" si="21"/>
        <v>85538.115020036319</v>
      </c>
      <c r="K73" s="207">
        <f t="shared" si="21"/>
        <v>85229.846263180865</v>
      </c>
      <c r="L73" s="208">
        <f>L63-L107-L149</f>
        <v>84984.490701399191</v>
      </c>
      <c r="M73" s="4" t="s">
        <v>420</v>
      </c>
    </row>
    <row r="74" spans="1:33" ht="14.5" thickBot="1" x14ac:dyDescent="0.35">
      <c r="B74" s="222" t="s">
        <v>421</v>
      </c>
      <c r="C74" s="206">
        <f t="shared" ref="C74:K74" si="22">(C20-C21)-SUM(C24:C26)</f>
        <v>0</v>
      </c>
      <c r="D74" s="207">
        <f t="shared" si="22"/>
        <v>21599.959871671454</v>
      </c>
      <c r="E74" s="207">
        <f t="shared" si="22"/>
        <v>16264.791393778132</v>
      </c>
      <c r="F74" s="207">
        <f t="shared" si="22"/>
        <v>25087.888917266955</v>
      </c>
      <c r="G74" s="207">
        <f t="shared" si="22"/>
        <v>32288.845780662294</v>
      </c>
      <c r="H74" s="207">
        <f t="shared" si="22"/>
        <v>27792.027159701134</v>
      </c>
      <c r="I74" s="207">
        <f t="shared" si="22"/>
        <v>23500.506088625814</v>
      </c>
      <c r="J74" s="207">
        <f t="shared" si="22"/>
        <v>19624.086222259088</v>
      </c>
      <c r="K74" s="207">
        <f t="shared" si="22"/>
        <v>15882.772199539068</v>
      </c>
      <c r="L74" s="208">
        <f>(L20-L21)-SUM(L24:L26)</f>
        <v>12276.902593888677</v>
      </c>
      <c r="M74" s="223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ht="14.5" thickBot="1" x14ac:dyDescent="0.35">
      <c r="B75" s="222" t="s">
        <v>422</v>
      </c>
      <c r="C75" s="224"/>
      <c r="D75" s="225"/>
      <c r="E75" s="225"/>
      <c r="F75" s="225"/>
      <c r="G75" s="225"/>
      <c r="H75" s="225"/>
      <c r="I75" s="225"/>
      <c r="J75" s="225"/>
      <c r="K75" s="225"/>
      <c r="L75" s="226">
        <f>MIN($L$73,L74)</f>
        <v>12276.902593888677</v>
      </c>
      <c r="M75" s="223" t="s">
        <v>423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ht="14.5" thickBot="1" x14ac:dyDescent="0.35">
      <c r="B76" s="227" t="s">
        <v>424</v>
      </c>
      <c r="C76" s="228"/>
      <c r="D76" s="229"/>
      <c r="E76" s="230">
        <f>$L$75/8</f>
        <v>1534.6128242360846</v>
      </c>
      <c r="F76" s="230">
        <f>$L$75/8 +E76</f>
        <v>3069.2256484721693</v>
      </c>
      <c r="G76" s="230">
        <f t="shared" ref="G76:L76" si="23">$L$75/8 +F76</f>
        <v>4603.8384727082539</v>
      </c>
      <c r="H76" s="230">
        <f t="shared" si="23"/>
        <v>6138.4512969443385</v>
      </c>
      <c r="I76" s="230">
        <f t="shared" si="23"/>
        <v>7673.0641211804232</v>
      </c>
      <c r="J76" s="230">
        <f t="shared" si="23"/>
        <v>9207.6769454165078</v>
      </c>
      <c r="K76" s="230">
        <f t="shared" si="23"/>
        <v>10742.289769652592</v>
      </c>
      <c r="L76" s="231">
        <f t="shared" si="23"/>
        <v>12276.902593888677</v>
      </c>
      <c r="M76" s="223" t="s">
        <v>425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ht="14.5" thickBot="1" x14ac:dyDescent="0.35">
      <c r="B77" s="162" t="s">
        <v>409</v>
      </c>
      <c r="C77" s="203">
        <v>2021</v>
      </c>
      <c r="D77" s="15">
        <v>2022</v>
      </c>
      <c r="E77" s="15">
        <v>2023</v>
      </c>
      <c r="F77" s="15">
        <v>2024</v>
      </c>
      <c r="G77" s="15">
        <v>2025</v>
      </c>
      <c r="H77" s="15">
        <v>2026</v>
      </c>
      <c r="I77" s="15">
        <v>2027</v>
      </c>
      <c r="J77" s="15">
        <v>2028</v>
      </c>
      <c r="K77" s="15">
        <v>2029</v>
      </c>
      <c r="L77" s="204">
        <v>2030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x14ac:dyDescent="0.3">
      <c r="B78" s="222" t="s">
        <v>426</v>
      </c>
      <c r="C78" s="232">
        <f>C76/$C$65</f>
        <v>0</v>
      </c>
      <c r="D78" s="233">
        <f t="shared" ref="D78:L78" si="24">D76/$C$65</f>
        <v>0</v>
      </c>
      <c r="E78" s="233">
        <f>E76/$C$65</f>
        <v>6477.3326725063926</v>
      </c>
      <c r="F78" s="233">
        <f t="shared" si="24"/>
        <v>12954.665345012785</v>
      </c>
      <c r="G78" s="233">
        <f t="shared" si="24"/>
        <v>19431.998017519178</v>
      </c>
      <c r="H78" s="233">
        <f t="shared" si="24"/>
        <v>25909.33069002557</v>
      </c>
      <c r="I78" s="233">
        <f t="shared" si="24"/>
        <v>32386.663362531963</v>
      </c>
      <c r="J78" s="233">
        <f t="shared" si="24"/>
        <v>38863.996035038355</v>
      </c>
      <c r="K78" s="233">
        <f t="shared" si="24"/>
        <v>45341.328707544744</v>
      </c>
      <c r="L78" s="234">
        <f t="shared" si="24"/>
        <v>51818.66138005114</v>
      </c>
      <c r="M78" s="11"/>
      <c r="N78" s="179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ht="14.5" thickBot="1" x14ac:dyDescent="0.35">
      <c r="B79" s="227" t="s">
        <v>427</v>
      </c>
      <c r="C79" s="235" t="s">
        <v>125</v>
      </c>
      <c r="D79" s="236">
        <f t="shared" ref="D79:L79" si="25">D68*D78/(1*10^6)</f>
        <v>0</v>
      </c>
      <c r="E79" s="236">
        <f>E68*E78/(1*10^6)</f>
        <v>2.4008233550644947E-2</v>
      </c>
      <c r="F79" s="236">
        <f t="shared" si="25"/>
        <v>5.0417290456354388E-2</v>
      </c>
      <c r="G79" s="236">
        <f t="shared" si="25"/>
        <v>7.9407232468758152E-2</v>
      </c>
      <c r="H79" s="236">
        <f t="shared" si="25"/>
        <v>0.1111701254562614</v>
      </c>
      <c r="I79" s="236">
        <f t="shared" si="25"/>
        <v>0.1459107896613431</v>
      </c>
      <c r="J79" s="236">
        <f t="shared" si="25"/>
        <v>0.18384759497329231</v>
      </c>
      <c r="K79" s="236">
        <f t="shared" si="25"/>
        <v>0.22521330384228308</v>
      </c>
      <c r="L79" s="237">
        <f t="shared" si="25"/>
        <v>0.27025596461073975</v>
      </c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x14ac:dyDescent="0.3"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ht="14.5" thickBot="1" x14ac:dyDescent="0.35">
      <c r="A81" s="7" t="s">
        <v>394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ht="14.5" thickBot="1" x14ac:dyDescent="0.35">
      <c r="B82" s="202" t="s">
        <v>404</v>
      </c>
      <c r="C82" s="203">
        <v>2021</v>
      </c>
      <c r="D82" s="15">
        <v>2022</v>
      </c>
      <c r="E82" s="15">
        <v>2023</v>
      </c>
      <c r="F82" s="15">
        <v>2024</v>
      </c>
      <c r="G82" s="15">
        <v>2025</v>
      </c>
      <c r="H82" s="15">
        <v>2026</v>
      </c>
      <c r="I82" s="15">
        <v>2027</v>
      </c>
      <c r="J82" s="15">
        <v>2028</v>
      </c>
      <c r="K82" s="15">
        <v>2029</v>
      </c>
      <c r="L82" s="204">
        <v>2030</v>
      </c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ht="14.5" thickBot="1" x14ac:dyDescent="0.35">
      <c r="A83" s="4"/>
      <c r="B83" s="221" t="s">
        <v>419</v>
      </c>
      <c r="C83" s="206">
        <f>C63-C107</f>
        <v>89864</v>
      </c>
      <c r="D83" s="207">
        <f t="shared" ref="D83:K83" si="26">D63-D107</f>
        <v>96146.243559337221</v>
      </c>
      <c r="E83" s="207">
        <f t="shared" si="26"/>
        <v>87945.995391302509</v>
      </c>
      <c r="F83" s="207">
        <f>F63-F107</f>
        <v>87883.629077624821</v>
      </c>
      <c r="G83" s="207">
        <f t="shared" si="26"/>
        <v>87004.866883974813</v>
      </c>
      <c r="H83" s="207">
        <f t="shared" si="26"/>
        <v>86326.387715106583</v>
      </c>
      <c r="I83" s="207">
        <f t="shared" si="26"/>
        <v>85727.989061089873</v>
      </c>
      <c r="J83" s="207">
        <f t="shared" si="26"/>
        <v>85267.21016178932</v>
      </c>
      <c r="K83" s="207">
        <f t="shared" si="26"/>
        <v>84868.6397855182</v>
      </c>
      <c r="L83" s="208">
        <f>L63-L107</f>
        <v>84532.98260432086</v>
      </c>
      <c r="M83" s="4" t="s">
        <v>420</v>
      </c>
    </row>
    <row r="84" spans="1:33" ht="14.5" thickBot="1" x14ac:dyDescent="0.35">
      <c r="B84" s="222" t="s">
        <v>421</v>
      </c>
      <c r="C84" s="206">
        <f t="shared" ref="C84:L84" si="27">(C37-C38)-SUM(C41)</f>
        <v>0</v>
      </c>
      <c r="D84" s="207">
        <f t="shared" si="27"/>
        <v>21599.959871671454</v>
      </c>
      <c r="E84" s="207">
        <f t="shared" si="27"/>
        <v>16264.791393778132</v>
      </c>
      <c r="F84" s="207">
        <f t="shared" si="27"/>
        <v>25087.888917266955</v>
      </c>
      <c r="G84" s="207">
        <f t="shared" si="27"/>
        <v>32288.845780662294</v>
      </c>
      <c r="H84" s="207">
        <f t="shared" si="27"/>
        <v>39991.340724719041</v>
      </c>
      <c r="I84" s="207">
        <f t="shared" si="27"/>
        <v>47899.133218661635</v>
      </c>
      <c r="J84" s="207">
        <f t="shared" si="27"/>
        <v>56222.026917312825</v>
      </c>
      <c r="K84" s="207">
        <f t="shared" si="27"/>
        <v>64680.026459610715</v>
      </c>
      <c r="L84" s="208">
        <f t="shared" si="27"/>
        <v>73273.470418978235</v>
      </c>
      <c r="M84" s="223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3" ht="14.5" thickBot="1" x14ac:dyDescent="0.35">
      <c r="B85" s="222" t="s">
        <v>422</v>
      </c>
      <c r="C85" s="224"/>
      <c r="D85" s="225"/>
      <c r="E85" s="225"/>
      <c r="F85" s="225"/>
      <c r="G85" s="225"/>
      <c r="H85" s="225"/>
      <c r="I85" s="225"/>
      <c r="J85" s="225"/>
      <c r="K85" s="225"/>
      <c r="L85" s="226">
        <f>MIN($L$83,L84)</f>
        <v>73273.470418978235</v>
      </c>
      <c r="M85" s="223" t="s">
        <v>423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1:33" ht="14.5" thickBot="1" x14ac:dyDescent="0.35">
      <c r="B86" s="227" t="s">
        <v>428</v>
      </c>
      <c r="C86" s="228"/>
      <c r="D86" s="229"/>
      <c r="E86" s="230">
        <f>$L$85/8</f>
        <v>9159.1838023722794</v>
      </c>
      <c r="F86" s="230">
        <f>$L$85/8 +E86</f>
        <v>18318.367604744559</v>
      </c>
      <c r="G86" s="230">
        <f t="shared" ref="G86:K86" si="28">$L$85/8 +F86</f>
        <v>27477.551407116836</v>
      </c>
      <c r="H86" s="230">
        <f t="shared" si="28"/>
        <v>36636.735209489118</v>
      </c>
      <c r="I86" s="230">
        <f t="shared" si="28"/>
        <v>45795.919011861399</v>
      </c>
      <c r="J86" s="230">
        <f t="shared" si="28"/>
        <v>54955.10281423368</v>
      </c>
      <c r="K86" s="230">
        <f t="shared" si="28"/>
        <v>64114.286616605961</v>
      </c>
      <c r="L86" s="231">
        <f>$L$85/8 +K86</f>
        <v>73273.470418978235</v>
      </c>
      <c r="M86" s="223" t="s">
        <v>425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ht="14.5" thickBot="1" x14ac:dyDescent="0.35">
      <c r="B87" s="162" t="s">
        <v>409</v>
      </c>
      <c r="C87" s="203">
        <v>2021</v>
      </c>
      <c r="D87" s="15">
        <v>2022</v>
      </c>
      <c r="E87" s="15">
        <v>2023</v>
      </c>
      <c r="F87" s="15">
        <v>2024</v>
      </c>
      <c r="G87" s="15">
        <v>2025</v>
      </c>
      <c r="H87" s="15">
        <v>2026</v>
      </c>
      <c r="I87" s="15">
        <v>2027</v>
      </c>
      <c r="J87" s="15">
        <v>2028</v>
      </c>
      <c r="K87" s="15">
        <v>2029</v>
      </c>
      <c r="L87" s="204">
        <v>2030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x14ac:dyDescent="0.3">
      <c r="B88" s="222" t="s">
        <v>426</v>
      </c>
      <c r="C88" s="232">
        <f>C86/$C$65</f>
        <v>0</v>
      </c>
      <c r="D88" s="233">
        <f>D86/$C$65</f>
        <v>0</v>
      </c>
      <c r="E88" s="233">
        <f t="shared" ref="E88:L88" si="29">E86/$C$65</f>
        <v>38659.314948791558</v>
      </c>
      <c r="F88" s="233">
        <f t="shared" si="29"/>
        <v>77318.629897583116</v>
      </c>
      <c r="G88" s="233">
        <f t="shared" si="29"/>
        <v>115977.94484637467</v>
      </c>
      <c r="H88" s="233">
        <f t="shared" si="29"/>
        <v>154637.25979516623</v>
      </c>
      <c r="I88" s="233">
        <f t="shared" si="29"/>
        <v>193296.57474395781</v>
      </c>
      <c r="J88" s="233">
        <f t="shared" si="29"/>
        <v>231955.88969274936</v>
      </c>
      <c r="K88" s="233">
        <f t="shared" si="29"/>
        <v>270615.20464154094</v>
      </c>
      <c r="L88" s="234">
        <f t="shared" si="29"/>
        <v>309274.51959033246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ht="14.5" thickBot="1" x14ac:dyDescent="0.35">
      <c r="B89" s="227" t="s">
        <v>427</v>
      </c>
      <c r="C89" s="235" t="s">
        <v>125</v>
      </c>
      <c r="D89" s="236">
        <f>D68*D88/ (1*10^6)</f>
        <v>0</v>
      </c>
      <c r="E89" s="236">
        <f t="shared" ref="E89:L89" si="30">E68*E88/ (1*10^6)</f>
        <v>0.14329075085769591</v>
      </c>
      <c r="F89" s="236">
        <f t="shared" si="30"/>
        <v>0.30091057680116146</v>
      </c>
      <c r="G89" s="236">
        <f t="shared" si="30"/>
        <v>0.47393415846182918</v>
      </c>
      <c r="H89" s="236">
        <f t="shared" si="30"/>
        <v>0.66350782184656087</v>
      </c>
      <c r="I89" s="236">
        <f t="shared" si="30"/>
        <v>0.87085401617361125</v>
      </c>
      <c r="J89" s="236">
        <f t="shared" si="30"/>
        <v>1.0972760603787501</v>
      </c>
      <c r="K89" s="236">
        <f t="shared" si="30"/>
        <v>1.3441631739639694</v>
      </c>
      <c r="L89" s="237">
        <f t="shared" si="30"/>
        <v>1.6129958087567628</v>
      </c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x14ac:dyDescent="0.3">
      <c r="B90" s="238"/>
      <c r="M90" s="8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:33" s="6" customFormat="1" x14ac:dyDescent="0.3">
      <c r="A91" s="5" t="s">
        <v>398</v>
      </c>
    </row>
    <row r="92" spans="1:33" x14ac:dyDescent="0.3">
      <c r="A92" s="3" t="s">
        <v>411</v>
      </c>
    </row>
    <row r="93" spans="1:33" x14ac:dyDescent="0.3">
      <c r="A93" s="4"/>
      <c r="B93" s="3" t="s">
        <v>429</v>
      </c>
    </row>
    <row r="94" spans="1:33" ht="14.5" thickBot="1" x14ac:dyDescent="0.35">
      <c r="A94" s="4"/>
    </row>
    <row r="95" spans="1:33" ht="28.5" thickBot="1" x14ac:dyDescent="0.35">
      <c r="A95" s="4"/>
      <c r="B95" s="202" t="s">
        <v>62</v>
      </c>
      <c r="C95" s="239" t="s">
        <v>430</v>
      </c>
      <c r="D95" s="3" t="s">
        <v>431</v>
      </c>
    </row>
    <row r="96" spans="1:33" x14ac:dyDescent="0.3">
      <c r="A96" s="4"/>
      <c r="B96" s="212" t="s">
        <v>432</v>
      </c>
      <c r="C96" s="240">
        <v>4.0300000000000002E-2</v>
      </c>
      <c r="D96" s="3" t="s">
        <v>433</v>
      </c>
    </row>
    <row r="97" spans="1:33" ht="14.5" thickBot="1" x14ac:dyDescent="0.35">
      <c r="A97" s="4"/>
      <c r="B97" s="216" t="s">
        <v>434</v>
      </c>
      <c r="C97" s="241">
        <v>0.1842</v>
      </c>
      <c r="D97" s="3" t="s">
        <v>433</v>
      </c>
    </row>
    <row r="98" spans="1:33" ht="14.5" thickBot="1" x14ac:dyDescent="0.35">
      <c r="A98" s="7"/>
      <c r="B98" s="238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1:33" ht="14.5" thickBot="1" x14ac:dyDescent="0.35">
      <c r="A99" s="7"/>
      <c r="B99" s="242" t="s">
        <v>435</v>
      </c>
      <c r="C99" s="243">
        <f>-19.7758389716341</f>
        <v>-19.775838971634101</v>
      </c>
      <c r="D99" s="211" t="s">
        <v>436</v>
      </c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1:33" ht="14.5" thickBot="1" x14ac:dyDescent="0.35">
      <c r="A100" s="7"/>
      <c r="B100" s="238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1:33" s="13" customFormat="1" ht="14.5" thickBot="1" x14ac:dyDescent="0.35">
      <c r="B101" s="202" t="s">
        <v>404</v>
      </c>
      <c r="C101" s="14">
        <v>2021</v>
      </c>
      <c r="D101" s="15">
        <v>2022</v>
      </c>
      <c r="E101" s="15">
        <v>2023</v>
      </c>
      <c r="F101" s="15">
        <v>2024</v>
      </c>
      <c r="G101" s="15">
        <v>2025</v>
      </c>
      <c r="H101" s="15">
        <v>2026</v>
      </c>
      <c r="I101" s="15">
        <v>2027</v>
      </c>
      <c r="J101" s="15">
        <v>2028</v>
      </c>
      <c r="K101" s="15">
        <v>2029</v>
      </c>
      <c r="L101" s="204">
        <v>2030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1:33" x14ac:dyDescent="0.3">
      <c r="B102" s="244" t="s">
        <v>437</v>
      </c>
      <c r="C102" s="245">
        <f>'[1]Emissions Forecast'!F213</f>
        <v>32485.046700000003</v>
      </c>
      <c r="D102" s="246">
        <f>'[1]Emissions Forecast'!G213</f>
        <v>34693.488116939014</v>
      </c>
      <c r="E102" s="246">
        <f>'[1]Emissions Forecast'!H213</f>
        <v>32296.852584700824</v>
      </c>
      <c r="F102" s="246">
        <f>'[1]Emissions Forecast'!I213</f>
        <v>33367.970251960709</v>
      </c>
      <c r="G102" s="246">
        <f>'[1]Emissions Forecast'!J213</f>
        <v>34135.433567755805</v>
      </c>
      <c r="H102" s="246">
        <f>'[1]Emissions Forecast'!K213</f>
        <v>34954.683973381943</v>
      </c>
      <c r="I102" s="246">
        <f>'[1]Emissions Forecast'!L213</f>
        <v>35793.596388743113</v>
      </c>
      <c r="J102" s="246">
        <f>'[1]Emissions Forecast'!M213</f>
        <v>36652.642702072946</v>
      </c>
      <c r="K102" s="246">
        <f>'[1]Emissions Forecast'!N213</f>
        <v>37532.306126922696</v>
      </c>
      <c r="L102" s="247">
        <f>'[1]Emissions Forecast'!O213</f>
        <v>38433.081473968843</v>
      </c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1:33" ht="14.5" thickBot="1" x14ac:dyDescent="0.35">
      <c r="B103" s="248" t="s">
        <v>438</v>
      </c>
      <c r="C103" s="249">
        <f>'[1]Emissions Forecast'!F216</f>
        <v>76602</v>
      </c>
      <c r="D103" s="250">
        <f>'[1]Emissions Forecast'!G216</f>
        <v>81809.658495388954</v>
      </c>
      <c r="E103" s="250">
        <f>'[1]Emissions Forecast'!H216</f>
        <v>76158.225184058363</v>
      </c>
      <c r="F103" s="250">
        <f>'[1]Emissions Forecast'!I216</f>
        <v>78683.99515770725</v>
      </c>
      <c r="G103" s="250">
        <f>'[1]Emissions Forecast'!J216</f>
        <v>80493.727046334505</v>
      </c>
      <c r="H103" s="250">
        <f>'[1]Emissions Forecast'!K216</f>
        <v>82425.576495446541</v>
      </c>
      <c r="I103" s="250">
        <f>'[1]Emissions Forecast'!L216</f>
        <v>84403.790331337266</v>
      </c>
      <c r="J103" s="250">
        <f>'[1]Emissions Forecast'!M216</f>
        <v>86429.481299289357</v>
      </c>
      <c r="K103" s="250">
        <f>'[1]Emissions Forecast'!N216</f>
        <v>88503.788850472309</v>
      </c>
      <c r="L103" s="251">
        <f>'[1]Emissions Forecast'!O216</f>
        <v>90627.87978288364</v>
      </c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 x14ac:dyDescent="0.3">
      <c r="B104" s="252" t="s">
        <v>439</v>
      </c>
      <c r="C104" s="253"/>
      <c r="D104" s="254"/>
      <c r="E104" s="254"/>
      <c r="F104" s="254"/>
      <c r="G104" s="254"/>
      <c r="H104" s="254"/>
      <c r="I104" s="254"/>
      <c r="J104" s="254"/>
      <c r="K104" s="255"/>
      <c r="L104" s="256">
        <f>L102*C96</f>
        <v>1548.8531834009445</v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 ht="14.5" thickBot="1" x14ac:dyDescent="0.35">
      <c r="B105" s="257" t="s">
        <v>440</v>
      </c>
      <c r="C105" s="258"/>
      <c r="D105" s="259"/>
      <c r="E105" s="259"/>
      <c r="F105" s="259"/>
      <c r="G105" s="259"/>
      <c r="H105" s="259"/>
      <c r="I105" s="259"/>
      <c r="J105" s="259"/>
      <c r="K105" s="260"/>
      <c r="L105" s="261">
        <f>L103*C97</f>
        <v>16693.655456007167</v>
      </c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 x14ac:dyDescent="0.3">
      <c r="B106" s="244" t="s">
        <v>441</v>
      </c>
      <c r="C106" s="262"/>
      <c r="D106" s="263"/>
      <c r="E106" s="264">
        <f>$L$104/8</f>
        <v>193.60664792511807</v>
      </c>
      <c r="F106" s="264">
        <f>$L$104/8 +E106</f>
        <v>387.21329585023614</v>
      </c>
      <c r="G106" s="264">
        <f t="shared" ref="G106:L106" si="31">$L$104/8 +F106</f>
        <v>580.8199437753542</v>
      </c>
      <c r="H106" s="264">
        <f t="shared" si="31"/>
        <v>774.42659170047227</v>
      </c>
      <c r="I106" s="264">
        <f t="shared" si="31"/>
        <v>968.03323962559034</v>
      </c>
      <c r="J106" s="264">
        <f t="shared" si="31"/>
        <v>1161.6398875507084</v>
      </c>
      <c r="K106" s="264">
        <f t="shared" si="31"/>
        <v>1355.2465354758265</v>
      </c>
      <c r="L106" s="256">
        <f t="shared" si="31"/>
        <v>1548.8531834009445</v>
      </c>
      <c r="M106" s="223" t="s">
        <v>442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1:33" x14ac:dyDescent="0.3">
      <c r="B107" s="248" t="s">
        <v>443</v>
      </c>
      <c r="C107" s="265"/>
      <c r="D107" s="266"/>
      <c r="E107" s="267">
        <f>$L$105/8</f>
        <v>2086.7069320008959</v>
      </c>
      <c r="F107" s="267">
        <f>$L$105/8 +E107</f>
        <v>4173.4138640017918</v>
      </c>
      <c r="G107" s="267">
        <f t="shared" ref="G107:L107" si="32">$L$105/8 +F107</f>
        <v>6260.1207960026877</v>
      </c>
      <c r="H107" s="267">
        <f t="shared" si="32"/>
        <v>8346.8277280035836</v>
      </c>
      <c r="I107" s="267">
        <f t="shared" si="32"/>
        <v>10433.53466000448</v>
      </c>
      <c r="J107" s="267">
        <f t="shared" si="32"/>
        <v>12520.241592005375</v>
      </c>
      <c r="K107" s="267">
        <f t="shared" si="32"/>
        <v>14606.948524006271</v>
      </c>
      <c r="L107" s="268">
        <f t="shared" si="32"/>
        <v>16693.655456007167</v>
      </c>
      <c r="M107" s="223" t="s">
        <v>442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1:33" ht="14.5" thickBot="1" x14ac:dyDescent="0.35">
      <c r="B108" s="227" t="s">
        <v>444</v>
      </c>
      <c r="C108" s="269">
        <f>SUM(C106:C107)</f>
        <v>0</v>
      </c>
      <c r="D108" s="230">
        <f t="shared" ref="D108:L108" si="33">SUM(D106:D107)</f>
        <v>0</v>
      </c>
      <c r="E108" s="270">
        <f t="shared" si="33"/>
        <v>2280.313579926014</v>
      </c>
      <c r="F108" s="270">
        <f t="shared" si="33"/>
        <v>4560.6271598520279</v>
      </c>
      <c r="G108" s="270">
        <f t="shared" si="33"/>
        <v>6840.9407397780415</v>
      </c>
      <c r="H108" s="270">
        <f t="shared" si="33"/>
        <v>9121.2543197040559</v>
      </c>
      <c r="I108" s="270">
        <f t="shared" si="33"/>
        <v>11401.56789963007</v>
      </c>
      <c r="J108" s="270">
        <f t="shared" si="33"/>
        <v>13681.881479556083</v>
      </c>
      <c r="K108" s="270">
        <f t="shared" si="33"/>
        <v>15962.195059482097</v>
      </c>
      <c r="L108" s="261">
        <f t="shared" si="33"/>
        <v>18242.508639408112</v>
      </c>
      <c r="M108" s="223" t="s">
        <v>442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1:33" ht="14.5" thickBot="1" x14ac:dyDescent="0.35">
      <c r="B109" s="162" t="s">
        <v>409</v>
      </c>
      <c r="C109" s="203">
        <v>2021</v>
      </c>
      <c r="D109" s="15">
        <v>2022</v>
      </c>
      <c r="E109" s="15">
        <v>2023</v>
      </c>
      <c r="F109" s="15">
        <v>2024</v>
      </c>
      <c r="G109" s="15">
        <v>2025</v>
      </c>
      <c r="H109" s="15">
        <v>2026</v>
      </c>
      <c r="I109" s="15">
        <v>2027</v>
      </c>
      <c r="J109" s="15">
        <v>2028</v>
      </c>
      <c r="K109" s="15">
        <v>2029</v>
      </c>
      <c r="L109" s="204">
        <v>2030</v>
      </c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ht="14.5" thickBot="1" x14ac:dyDescent="0.35">
      <c r="B110" s="227" t="s">
        <v>427</v>
      </c>
      <c r="C110" s="235">
        <f>C108*$C$99/(1*10^6)</f>
        <v>0</v>
      </c>
      <c r="D110" s="236">
        <f t="shared" ref="D110:K110" si="34">D108*$C$99/(1*10^6)</f>
        <v>0</v>
      </c>
      <c r="E110" s="236">
        <f t="shared" si="34"/>
        <v>-4.509511416144734E-2</v>
      </c>
      <c r="F110" s="236">
        <f t="shared" si="34"/>
        <v>-9.0190228322894681E-2</v>
      </c>
      <c r="G110" s="236">
        <f t="shared" si="34"/>
        <v>-0.13528534248434201</v>
      </c>
      <c r="H110" s="236">
        <f t="shared" si="34"/>
        <v>-0.18038045664578936</v>
      </c>
      <c r="I110" s="236">
        <f t="shared" si="34"/>
        <v>-0.22547557080723671</v>
      </c>
      <c r="J110" s="236">
        <f t="shared" si="34"/>
        <v>-0.27057068496868403</v>
      </c>
      <c r="K110" s="236">
        <f t="shared" si="34"/>
        <v>-0.31566579913013137</v>
      </c>
      <c r="L110" s="237">
        <f>L108*$C$99/(1*10^6)</f>
        <v>-0.36076091329157872</v>
      </c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33" x14ac:dyDescent="0.3"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33" s="6" customFormat="1" x14ac:dyDescent="0.3">
      <c r="A112" s="5" t="s">
        <v>400</v>
      </c>
    </row>
    <row r="113" spans="1:33" x14ac:dyDescent="0.3">
      <c r="A113" s="3" t="s">
        <v>411</v>
      </c>
    </row>
    <row r="114" spans="1:33" x14ac:dyDescent="0.3">
      <c r="A114" s="4"/>
      <c r="B114" s="3" t="s">
        <v>429</v>
      </c>
    </row>
    <row r="115" spans="1:33" ht="14.5" thickBot="1" x14ac:dyDescent="0.35">
      <c r="A115" s="4"/>
    </row>
    <row r="116" spans="1:33" ht="28.5" thickBot="1" x14ac:dyDescent="0.35">
      <c r="A116" s="4"/>
      <c r="B116" s="202" t="s">
        <v>62</v>
      </c>
      <c r="C116" s="239" t="s">
        <v>430</v>
      </c>
      <c r="D116" s="3" t="s">
        <v>431</v>
      </c>
    </row>
    <row r="117" spans="1:33" x14ac:dyDescent="0.3">
      <c r="A117" s="4"/>
      <c r="B117" s="212" t="s">
        <v>432</v>
      </c>
      <c r="C117" s="240">
        <v>0.65</v>
      </c>
      <c r="D117" s="3" t="s">
        <v>433</v>
      </c>
    </row>
    <row r="118" spans="1:33" ht="14.5" thickBot="1" x14ac:dyDescent="0.35">
      <c r="A118" s="4"/>
      <c r="B118" s="216" t="s">
        <v>445</v>
      </c>
      <c r="C118" s="241">
        <v>1</v>
      </c>
      <c r="D118" s="3" t="s">
        <v>433</v>
      </c>
    </row>
    <row r="119" spans="1:33" ht="14.5" thickBot="1" x14ac:dyDescent="0.35">
      <c r="A119" s="7"/>
      <c r="B119" s="238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1:33" ht="14.5" thickBot="1" x14ac:dyDescent="0.35">
      <c r="A120" s="7"/>
      <c r="B120" s="242" t="s">
        <v>435</v>
      </c>
      <c r="C120" s="271" t="s">
        <v>446</v>
      </c>
      <c r="D120" s="211" t="s">
        <v>436</v>
      </c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1:33" ht="14.5" thickBot="1" x14ac:dyDescent="0.35">
      <c r="A121" s="7"/>
      <c r="B121" s="238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1:33" s="13" customFormat="1" ht="14.5" thickBot="1" x14ac:dyDescent="0.35">
      <c r="B122" s="202" t="s">
        <v>404</v>
      </c>
      <c r="C122" s="14">
        <v>2021</v>
      </c>
      <c r="D122" s="15">
        <v>2022</v>
      </c>
      <c r="E122" s="15">
        <v>2023</v>
      </c>
      <c r="F122" s="15">
        <v>2024</v>
      </c>
      <c r="G122" s="15">
        <v>2025</v>
      </c>
      <c r="H122" s="15">
        <v>2026</v>
      </c>
      <c r="I122" s="15">
        <v>2027</v>
      </c>
      <c r="J122" s="15">
        <v>2028</v>
      </c>
      <c r="K122" s="15">
        <v>2029</v>
      </c>
      <c r="L122" s="204">
        <v>2030</v>
      </c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1:33" x14ac:dyDescent="0.3">
      <c r="B123" s="272" t="s">
        <v>437</v>
      </c>
      <c r="C123" s="273">
        <f>'[1]Emissions Forecast'!F213</f>
        <v>32485.046700000003</v>
      </c>
      <c r="D123" s="264">
        <f>'[1]Emissions Forecast'!G213</f>
        <v>34693.488116939014</v>
      </c>
      <c r="E123" s="264">
        <f>'[1]Emissions Forecast'!H213</f>
        <v>32296.852584700824</v>
      </c>
      <c r="F123" s="264">
        <f>'[1]Emissions Forecast'!I213</f>
        <v>33367.970251960709</v>
      </c>
      <c r="G123" s="264">
        <f>'[1]Emissions Forecast'!J213</f>
        <v>34135.433567755805</v>
      </c>
      <c r="H123" s="264">
        <f>'[1]Emissions Forecast'!K213</f>
        <v>34954.683973381943</v>
      </c>
      <c r="I123" s="264">
        <f>'[1]Emissions Forecast'!L213</f>
        <v>35793.596388743113</v>
      </c>
      <c r="J123" s="264">
        <f>'[1]Emissions Forecast'!M213</f>
        <v>36652.642702072946</v>
      </c>
      <c r="K123" s="264">
        <f>'[1]Emissions Forecast'!N213</f>
        <v>37532.306126922696</v>
      </c>
      <c r="L123" s="256">
        <f>'[1]Emissions Forecast'!O213</f>
        <v>38433.081473968843</v>
      </c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:33" ht="14.5" thickBot="1" x14ac:dyDescent="0.35">
      <c r="B124" s="274" t="s">
        <v>447</v>
      </c>
      <c r="C124" s="275">
        <f>'[1]Emissions Forecast'!F215</f>
        <v>24695</v>
      </c>
      <c r="D124" s="267">
        <f>'[1]Emissions Forecast'!G215</f>
        <v>26373.848157275665</v>
      </c>
      <c r="E124" s="267">
        <f>'[1]Emissions Forecast'!H215</f>
        <v>24551.935601163437</v>
      </c>
      <c r="F124" s="267">
        <f>'[1]Emissions Forecast'!I215</f>
        <v>25366.194882895757</v>
      </c>
      <c r="G124" s="267">
        <f>'[1]Emissions Forecast'!J215</f>
        <v>25949.617365202357</v>
      </c>
      <c r="H124" s="267">
        <f>'[1]Emissions Forecast'!K215</f>
        <v>26572.408181967214</v>
      </c>
      <c r="I124" s="267">
        <f>'[1]Emissions Forecast'!L215</f>
        <v>27210.145978334429</v>
      </c>
      <c r="J124" s="267">
        <f>'[1]Emissions Forecast'!M215</f>
        <v>27863.189481814457</v>
      </c>
      <c r="K124" s="267">
        <f>'[1]Emissions Forecast'!N215</f>
        <v>28531.906029378006</v>
      </c>
      <c r="L124" s="261">
        <f>'[1]Emissions Forecast'!O215</f>
        <v>29216.671774083079</v>
      </c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1:33" x14ac:dyDescent="0.3">
      <c r="B125" s="276" t="s">
        <v>439</v>
      </c>
      <c r="C125" s="253"/>
      <c r="D125" s="254"/>
      <c r="E125" s="254"/>
      <c r="F125" s="254"/>
      <c r="G125" s="254"/>
      <c r="H125" s="254"/>
      <c r="I125" s="254"/>
      <c r="J125" s="254"/>
      <c r="K125" s="255"/>
      <c r="L125" s="256">
        <f>L123*C117</f>
        <v>24981.502958079749</v>
      </c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:33" ht="14.5" thickBot="1" x14ac:dyDescent="0.35">
      <c r="B126" s="277" t="s">
        <v>448</v>
      </c>
      <c r="C126" s="258"/>
      <c r="D126" s="259"/>
      <c r="E126" s="259"/>
      <c r="F126" s="259"/>
      <c r="G126" s="259"/>
      <c r="H126" s="259"/>
      <c r="I126" s="259"/>
      <c r="J126" s="259"/>
      <c r="K126" s="260"/>
      <c r="L126" s="261">
        <f>L124*C118</f>
        <v>29216.671774083079</v>
      </c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:33" x14ac:dyDescent="0.3">
      <c r="B127" s="272" t="s">
        <v>441</v>
      </c>
      <c r="C127" s="262"/>
      <c r="D127" s="278"/>
      <c r="E127" s="278"/>
      <c r="F127" s="278"/>
      <c r="G127" s="263"/>
      <c r="H127" s="264">
        <f>$L$125/5</f>
        <v>4996.30059161595</v>
      </c>
      <c r="I127" s="264">
        <f>$L$125/5 +H127</f>
        <v>9992.6011832319</v>
      </c>
      <c r="J127" s="264">
        <f t="shared" ref="J127:L127" si="35">$L$125/5 +I127</f>
        <v>14988.901774847851</v>
      </c>
      <c r="K127" s="264">
        <f t="shared" si="35"/>
        <v>19985.2023664638</v>
      </c>
      <c r="L127" s="256">
        <f t="shared" si="35"/>
        <v>24981.502958079749</v>
      </c>
      <c r="M127" s="223" t="s">
        <v>442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:33" x14ac:dyDescent="0.3">
      <c r="B128" s="274" t="s">
        <v>449</v>
      </c>
      <c r="C128" s="265"/>
      <c r="D128" s="279"/>
      <c r="E128" s="279"/>
      <c r="F128" s="279"/>
      <c r="G128" s="266"/>
      <c r="H128" s="267">
        <f>$L$126/5</f>
        <v>5843.3343548166158</v>
      </c>
      <c r="I128" s="267">
        <f>$L$126/5 +H128</f>
        <v>11686.668709633232</v>
      </c>
      <c r="J128" s="267">
        <f t="shared" ref="J128:L128" si="36">$L$126/5 +I128</f>
        <v>17530.003064449847</v>
      </c>
      <c r="K128" s="267">
        <f t="shared" si="36"/>
        <v>23373.337419266463</v>
      </c>
      <c r="L128" s="268">
        <f t="shared" si="36"/>
        <v>29216.671774083079</v>
      </c>
      <c r="M128" s="223" t="s">
        <v>442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:33" ht="14.5" thickBot="1" x14ac:dyDescent="0.35">
      <c r="B129" s="280" t="s">
        <v>444</v>
      </c>
      <c r="C129" s="269">
        <f>SUM(C127:C128)</f>
        <v>0</v>
      </c>
      <c r="D129" s="230">
        <f t="shared" ref="D129:L129" si="37">SUM(D127:D128)</f>
        <v>0</v>
      </c>
      <c r="E129" s="270">
        <f t="shared" si="37"/>
        <v>0</v>
      </c>
      <c r="F129" s="270">
        <f t="shared" si="37"/>
        <v>0</v>
      </c>
      <c r="G129" s="270">
        <f t="shared" si="37"/>
        <v>0</v>
      </c>
      <c r="H129" s="270">
        <f t="shared" si="37"/>
        <v>10839.634946432565</v>
      </c>
      <c r="I129" s="270">
        <f t="shared" si="37"/>
        <v>21679.26989286513</v>
      </c>
      <c r="J129" s="270">
        <f t="shared" si="37"/>
        <v>32518.904839297698</v>
      </c>
      <c r="K129" s="270">
        <f t="shared" si="37"/>
        <v>43358.53978573026</v>
      </c>
      <c r="L129" s="261">
        <f t="shared" si="37"/>
        <v>54198.174732162828</v>
      </c>
      <c r="M129" s="223" t="s">
        <v>442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1:33" ht="14.5" thickBot="1" x14ac:dyDescent="0.35">
      <c r="B130" s="162" t="s">
        <v>409</v>
      </c>
      <c r="C130" s="203">
        <v>2021</v>
      </c>
      <c r="D130" s="15">
        <v>2022</v>
      </c>
      <c r="E130" s="15">
        <v>2023</v>
      </c>
      <c r="F130" s="15">
        <v>2024</v>
      </c>
      <c r="G130" s="15">
        <v>2025</v>
      </c>
      <c r="H130" s="15">
        <v>2026</v>
      </c>
      <c r="I130" s="15">
        <v>2027</v>
      </c>
      <c r="J130" s="15">
        <v>2028</v>
      </c>
      <c r="K130" s="15">
        <v>2029</v>
      </c>
      <c r="L130" s="204">
        <v>2030</v>
      </c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1:33" ht="14.5" thickBot="1" x14ac:dyDescent="0.35">
      <c r="B131" s="280" t="s">
        <v>427</v>
      </c>
      <c r="C131" s="281" t="str">
        <f>IFERROR(C129*$C$120/(1*10^6),"N/A")</f>
        <v>N/A</v>
      </c>
      <c r="D131" s="281" t="str">
        <f t="shared" ref="D131:L131" si="38">IFERROR(D129*$C$120/(1*10^6),"N/A")</f>
        <v>N/A</v>
      </c>
      <c r="E131" s="281" t="str">
        <f t="shared" si="38"/>
        <v>N/A</v>
      </c>
      <c r="F131" s="281" t="str">
        <f t="shared" si="38"/>
        <v>N/A</v>
      </c>
      <c r="G131" s="281" t="str">
        <f t="shared" si="38"/>
        <v>N/A</v>
      </c>
      <c r="H131" s="281" t="str">
        <f t="shared" si="38"/>
        <v>N/A</v>
      </c>
      <c r="I131" s="281" t="str">
        <f t="shared" si="38"/>
        <v>N/A</v>
      </c>
      <c r="J131" s="281" t="str">
        <f t="shared" si="38"/>
        <v>N/A</v>
      </c>
      <c r="K131" s="281" t="str">
        <f t="shared" si="38"/>
        <v>N/A</v>
      </c>
      <c r="L131" s="281" t="str">
        <f t="shared" si="38"/>
        <v>N/A</v>
      </c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1:33" x14ac:dyDescent="0.3">
      <c r="B132" s="238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spans="1:33" s="6" customFormat="1" x14ac:dyDescent="0.3">
      <c r="A133" s="5" t="s">
        <v>450</v>
      </c>
    </row>
    <row r="134" spans="1:33" x14ac:dyDescent="0.3">
      <c r="A134" s="3" t="s">
        <v>411</v>
      </c>
    </row>
    <row r="135" spans="1:33" x14ac:dyDescent="0.3">
      <c r="A135" s="4"/>
      <c r="B135" s="3" t="s">
        <v>429</v>
      </c>
    </row>
    <row r="136" spans="1:33" ht="14.5" thickBot="1" x14ac:dyDescent="0.35">
      <c r="A136" s="4"/>
    </row>
    <row r="137" spans="1:33" ht="28.5" thickBot="1" x14ac:dyDescent="0.35">
      <c r="A137" s="4"/>
      <c r="B137" s="202" t="s">
        <v>62</v>
      </c>
      <c r="C137" s="239" t="s">
        <v>430</v>
      </c>
      <c r="D137" s="3" t="s">
        <v>431</v>
      </c>
    </row>
    <row r="138" spans="1:33" x14ac:dyDescent="0.3">
      <c r="A138" s="4"/>
      <c r="B138" s="212" t="s">
        <v>432</v>
      </c>
      <c r="C138" s="240">
        <v>0.188637</v>
      </c>
      <c r="D138" s="3" t="s">
        <v>433</v>
      </c>
    </row>
    <row r="139" spans="1:33" ht="14.5" thickBot="1" x14ac:dyDescent="0.35">
      <c r="A139" s="4"/>
      <c r="B139" s="216" t="s">
        <v>434</v>
      </c>
      <c r="C139" s="241">
        <v>-4.9820000000000003E-3</v>
      </c>
      <c r="D139" s="3" t="s">
        <v>433</v>
      </c>
    </row>
    <row r="140" spans="1:33" ht="14.5" thickBot="1" x14ac:dyDescent="0.35">
      <c r="A140" s="7"/>
      <c r="B140" s="238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1:33" ht="14.5" thickBot="1" x14ac:dyDescent="0.35">
      <c r="A141" s="7"/>
      <c r="B141" s="242" t="s">
        <v>435</v>
      </c>
      <c r="C141" s="271">
        <v>547</v>
      </c>
      <c r="D141" s="211" t="s">
        <v>436</v>
      </c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1:33" ht="14.5" thickBot="1" x14ac:dyDescent="0.35">
      <c r="A142" s="7"/>
      <c r="B142" s="238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spans="1:33" s="13" customFormat="1" ht="14.5" thickBot="1" x14ac:dyDescent="0.35">
      <c r="B143" s="202" t="s">
        <v>404</v>
      </c>
      <c r="C143" s="14">
        <v>2021</v>
      </c>
      <c r="D143" s="15">
        <v>2022</v>
      </c>
      <c r="E143" s="15">
        <v>2023</v>
      </c>
      <c r="F143" s="15">
        <v>2024</v>
      </c>
      <c r="G143" s="15">
        <v>2025</v>
      </c>
      <c r="H143" s="15">
        <v>2026</v>
      </c>
      <c r="I143" s="15">
        <v>2027</v>
      </c>
      <c r="J143" s="15">
        <v>2028</v>
      </c>
      <c r="K143" s="15">
        <v>2029</v>
      </c>
      <c r="L143" s="204">
        <v>2030</v>
      </c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spans="1:33" x14ac:dyDescent="0.3">
      <c r="B144" s="244" t="s">
        <v>437</v>
      </c>
      <c r="C144" s="273">
        <f>'[1]Emissions Forecast'!F213</f>
        <v>32485.046700000003</v>
      </c>
      <c r="D144" s="264">
        <f>'[1]Emissions Forecast'!G213</f>
        <v>34693.488116939014</v>
      </c>
      <c r="E144" s="264">
        <f>'[1]Emissions Forecast'!H213</f>
        <v>32296.852584700824</v>
      </c>
      <c r="F144" s="264">
        <f>'[1]Emissions Forecast'!I213</f>
        <v>33367.970251960709</v>
      </c>
      <c r="G144" s="264">
        <f>'[1]Emissions Forecast'!J213</f>
        <v>34135.433567755805</v>
      </c>
      <c r="H144" s="264">
        <f>'[1]Emissions Forecast'!K213</f>
        <v>34954.683973381943</v>
      </c>
      <c r="I144" s="264">
        <f>'[1]Emissions Forecast'!L213</f>
        <v>35793.596388743113</v>
      </c>
      <c r="J144" s="264">
        <f>'[1]Emissions Forecast'!M213</f>
        <v>36652.642702072946</v>
      </c>
      <c r="K144" s="264">
        <f>'[1]Emissions Forecast'!N213</f>
        <v>37532.306126922696</v>
      </c>
      <c r="L144" s="256">
        <f>'[1]Emissions Forecast'!O213</f>
        <v>38433.081473968843</v>
      </c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spans="2:33" ht="14.5" thickBot="1" x14ac:dyDescent="0.35">
      <c r="B145" s="248" t="s">
        <v>438</v>
      </c>
      <c r="C145" s="275">
        <f>'[1]Emissions Forecast'!F216</f>
        <v>76602</v>
      </c>
      <c r="D145" s="267">
        <f>'[1]Emissions Forecast'!G216</f>
        <v>81809.658495388954</v>
      </c>
      <c r="E145" s="267">
        <f>'[1]Emissions Forecast'!H216</f>
        <v>76158.225184058363</v>
      </c>
      <c r="F145" s="267">
        <f>'[1]Emissions Forecast'!I216</f>
        <v>78683.99515770725</v>
      </c>
      <c r="G145" s="267">
        <f>'[1]Emissions Forecast'!J216</f>
        <v>80493.727046334505</v>
      </c>
      <c r="H145" s="267">
        <f>'[1]Emissions Forecast'!K216</f>
        <v>82425.576495446541</v>
      </c>
      <c r="I145" s="267">
        <f>'[1]Emissions Forecast'!L216</f>
        <v>84403.790331337266</v>
      </c>
      <c r="J145" s="267">
        <f>'[1]Emissions Forecast'!M216</f>
        <v>86429.481299289357</v>
      </c>
      <c r="K145" s="267">
        <f>'[1]Emissions Forecast'!N216</f>
        <v>88503.788850472309</v>
      </c>
      <c r="L145" s="261">
        <f>'[1]Emissions Forecast'!O216</f>
        <v>90627.87978288364</v>
      </c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2:33" x14ac:dyDescent="0.3">
      <c r="B146" s="276" t="s">
        <v>439</v>
      </c>
      <c r="C146" s="253"/>
      <c r="D146" s="254"/>
      <c r="E146" s="254"/>
      <c r="F146" s="254"/>
      <c r="G146" s="254"/>
      <c r="H146" s="254"/>
      <c r="I146" s="254"/>
      <c r="J146" s="254"/>
      <c r="K146" s="255"/>
      <c r="L146" s="256">
        <f>L144*C138</f>
        <v>7249.9011900050609</v>
      </c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spans="2:33" ht="14.5" thickBot="1" x14ac:dyDescent="0.35">
      <c r="B147" s="277" t="s">
        <v>440</v>
      </c>
      <c r="C147" s="258"/>
      <c r="D147" s="259"/>
      <c r="E147" s="259"/>
      <c r="F147" s="259"/>
      <c r="G147" s="259"/>
      <c r="H147" s="259"/>
      <c r="I147" s="259"/>
      <c r="J147" s="259"/>
      <c r="K147" s="260"/>
      <c r="L147" s="261">
        <f>L145*C139</f>
        <v>-451.50809707832633</v>
      </c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spans="2:33" x14ac:dyDescent="0.3">
      <c r="B148" s="272" t="s">
        <v>441</v>
      </c>
      <c r="C148" s="262"/>
      <c r="D148" s="278"/>
      <c r="E148" s="278"/>
      <c r="F148" s="278"/>
      <c r="G148" s="263"/>
      <c r="H148" s="264">
        <f>$L$146/5</f>
        <v>1449.9802380010121</v>
      </c>
      <c r="I148" s="264">
        <f>$L$146/5 +H148</f>
        <v>2899.9604760020243</v>
      </c>
      <c r="J148" s="264">
        <f t="shared" ref="J148:L148" si="39">$L$146/5 +I148</f>
        <v>4349.9407140030362</v>
      </c>
      <c r="K148" s="264">
        <f t="shared" si="39"/>
        <v>5799.9209520040486</v>
      </c>
      <c r="L148" s="256">
        <f t="shared" si="39"/>
        <v>7249.9011900050609</v>
      </c>
      <c r="M148" s="223" t="s">
        <v>442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2:33" x14ac:dyDescent="0.3">
      <c r="B149" s="274" t="s">
        <v>443</v>
      </c>
      <c r="C149" s="265"/>
      <c r="D149" s="279"/>
      <c r="E149" s="279"/>
      <c r="F149" s="279"/>
      <c r="G149" s="266"/>
      <c r="H149" s="267">
        <f>$L$147/5</f>
        <v>-90.301619415665272</v>
      </c>
      <c r="I149" s="267">
        <f>$L$147/5 +H149</f>
        <v>-180.60323883133054</v>
      </c>
      <c r="J149" s="267">
        <f t="shared" ref="J149:L149" si="40">$L$147/5 +I149</f>
        <v>-270.90485824699579</v>
      </c>
      <c r="K149" s="267">
        <f t="shared" si="40"/>
        <v>-361.20647766266109</v>
      </c>
      <c r="L149" s="268">
        <f t="shared" si="40"/>
        <v>-451.50809707832639</v>
      </c>
      <c r="M149" s="223" t="s">
        <v>442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spans="2:33" ht="14.5" thickBot="1" x14ac:dyDescent="0.35">
      <c r="B150" s="280" t="s">
        <v>444</v>
      </c>
      <c r="C150" s="269">
        <f>SUM(C148:C149)</f>
        <v>0</v>
      </c>
      <c r="D150" s="230">
        <f t="shared" ref="D150:L150" si="41">SUM(D148:D149)</f>
        <v>0</v>
      </c>
      <c r="E150" s="270">
        <f t="shared" si="41"/>
        <v>0</v>
      </c>
      <c r="F150" s="270">
        <f t="shared" si="41"/>
        <v>0</v>
      </c>
      <c r="G150" s="270">
        <f t="shared" si="41"/>
        <v>0</v>
      </c>
      <c r="H150" s="270">
        <f t="shared" si="41"/>
        <v>1359.6786185853468</v>
      </c>
      <c r="I150" s="270">
        <f t="shared" si="41"/>
        <v>2719.3572371706937</v>
      </c>
      <c r="J150" s="270">
        <f t="shared" si="41"/>
        <v>4079.0358557560403</v>
      </c>
      <c r="K150" s="270">
        <f t="shared" si="41"/>
        <v>5438.7144743413874</v>
      </c>
      <c r="L150" s="261">
        <f t="shared" si="41"/>
        <v>6798.3930929267344</v>
      </c>
      <c r="M150" s="223" t="s">
        <v>442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2:33" ht="14.5" thickBot="1" x14ac:dyDescent="0.35">
      <c r="B151" s="162" t="s">
        <v>409</v>
      </c>
      <c r="C151" s="203">
        <v>2021</v>
      </c>
      <c r="D151" s="15">
        <v>2022</v>
      </c>
      <c r="E151" s="15">
        <v>2023</v>
      </c>
      <c r="F151" s="15">
        <v>2024</v>
      </c>
      <c r="G151" s="15">
        <v>2025</v>
      </c>
      <c r="H151" s="15">
        <v>2026</v>
      </c>
      <c r="I151" s="15">
        <v>2027</v>
      </c>
      <c r="J151" s="15">
        <v>2028</v>
      </c>
      <c r="K151" s="15">
        <v>2029</v>
      </c>
      <c r="L151" s="204">
        <v>2030</v>
      </c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2:33" ht="14.5" thickBot="1" x14ac:dyDescent="0.35">
      <c r="B152" s="280" t="s">
        <v>427</v>
      </c>
      <c r="C152" s="235">
        <f>C150*$C$141/(1*10^6)</f>
        <v>0</v>
      </c>
      <c r="D152" s="236">
        <f t="shared" ref="D152:L152" si="42">D150*$C$141/(1*10^6)</f>
        <v>0</v>
      </c>
      <c r="E152" s="236">
        <f t="shared" si="42"/>
        <v>0</v>
      </c>
      <c r="F152" s="236">
        <f t="shared" si="42"/>
        <v>0</v>
      </c>
      <c r="G152" s="236">
        <f t="shared" si="42"/>
        <v>0</v>
      </c>
      <c r="H152" s="236">
        <f>H150*$C$141/(1*10^6)</f>
        <v>0.74374420436618482</v>
      </c>
      <c r="I152" s="236">
        <f t="shared" si="42"/>
        <v>1.4874884087323696</v>
      </c>
      <c r="J152" s="236">
        <f t="shared" si="42"/>
        <v>2.231232613098554</v>
      </c>
      <c r="K152" s="236">
        <f t="shared" si="42"/>
        <v>2.9749768174647393</v>
      </c>
      <c r="L152" s="237">
        <f t="shared" si="42"/>
        <v>3.7187210218309237</v>
      </c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2:33" x14ac:dyDescent="0.3"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2:33" x14ac:dyDescent="0.3"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2:33" x14ac:dyDescent="0.3"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2:33" x14ac:dyDescent="0.3"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2:33" x14ac:dyDescent="0.3"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2:33" x14ac:dyDescent="0.3"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2:33" x14ac:dyDescent="0.3"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2:33" x14ac:dyDescent="0.3"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spans="13:33" x14ac:dyDescent="0.3"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spans="13:33" x14ac:dyDescent="0.3"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13:33" x14ac:dyDescent="0.3"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13:33" x14ac:dyDescent="0.3"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13:33" x14ac:dyDescent="0.3"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13:33" x14ac:dyDescent="0.3"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13:33" x14ac:dyDescent="0.3"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13:33" x14ac:dyDescent="0.3"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spans="13:33" x14ac:dyDescent="0.3"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spans="13:33" x14ac:dyDescent="0.3"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13:33" x14ac:dyDescent="0.3"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13:33" x14ac:dyDescent="0.3"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13:33" x14ac:dyDescent="0.3"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13:33" x14ac:dyDescent="0.3"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spans="13:33" x14ac:dyDescent="0.3"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spans="13:33" x14ac:dyDescent="0.3"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13:33" x14ac:dyDescent="0.3"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13:33" x14ac:dyDescent="0.3"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13:33" x14ac:dyDescent="0.3"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13:33" x14ac:dyDescent="0.3"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13:33" x14ac:dyDescent="0.3"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13:33" x14ac:dyDescent="0.3"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13:33" x14ac:dyDescent="0.3"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13:33" x14ac:dyDescent="0.3"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13:33" x14ac:dyDescent="0.3"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13:33" x14ac:dyDescent="0.3"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13:33" x14ac:dyDescent="0.3"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3:33" x14ac:dyDescent="0.3"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spans="13:33" x14ac:dyDescent="0.3"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13:33" x14ac:dyDescent="0.3"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spans="13:33" x14ac:dyDescent="0.3"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13:33" x14ac:dyDescent="0.3"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spans="13:33" x14ac:dyDescent="0.3"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spans="13:33" x14ac:dyDescent="0.3"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spans="13:33" x14ac:dyDescent="0.3"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spans="13:33" x14ac:dyDescent="0.3"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spans="13:33" x14ac:dyDescent="0.3"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spans="13:33" x14ac:dyDescent="0.3"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spans="13:33" x14ac:dyDescent="0.3"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spans="13:33" x14ac:dyDescent="0.3"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  <row r="201" spans="13:33" x14ac:dyDescent="0.3"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</row>
    <row r="202" spans="13:33" x14ac:dyDescent="0.3"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</row>
    <row r="203" spans="13:33" x14ac:dyDescent="0.3"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spans="13:33" x14ac:dyDescent="0.3"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spans="13:33" x14ac:dyDescent="0.3"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</row>
    <row r="206" spans="13:33" x14ac:dyDescent="0.3"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</row>
    <row r="207" spans="13:33" x14ac:dyDescent="0.3"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spans="13:33" x14ac:dyDescent="0.3"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</row>
    <row r="209" spans="13:33" x14ac:dyDescent="0.3"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</row>
    <row r="210" spans="13:33" x14ac:dyDescent="0.3"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</row>
    <row r="211" spans="13:33" x14ac:dyDescent="0.3"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spans="13:33" x14ac:dyDescent="0.3"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</row>
    <row r="213" spans="13:33" x14ac:dyDescent="0.3"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</row>
    <row r="214" spans="13:33" x14ac:dyDescent="0.3"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spans="13:33" x14ac:dyDescent="0.3"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</row>
    <row r="216" spans="13:33" x14ac:dyDescent="0.3"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spans="13:33" x14ac:dyDescent="0.3"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spans="13:33" x14ac:dyDescent="0.3"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19" spans="13:33" x14ac:dyDescent="0.3"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</row>
    <row r="220" spans="13:33" x14ac:dyDescent="0.3"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13:33" x14ac:dyDescent="0.3"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</row>
    <row r="222" spans="13:33" x14ac:dyDescent="0.3"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</row>
    <row r="223" spans="13:33" x14ac:dyDescent="0.3"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</row>
    <row r="224" spans="13:33" x14ac:dyDescent="0.3"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spans="13:33" x14ac:dyDescent="0.3"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</row>
    <row r="226" spans="13:33" x14ac:dyDescent="0.3"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</row>
    <row r="227" spans="13:33" x14ac:dyDescent="0.3"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spans="13:33" x14ac:dyDescent="0.3"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13:33" x14ac:dyDescent="0.3"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spans="13:33" x14ac:dyDescent="0.3"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</row>
    <row r="231" spans="13:33" x14ac:dyDescent="0.3"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</row>
    <row r="232" spans="13:33" x14ac:dyDescent="0.3"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</row>
    <row r="233" spans="13:33" x14ac:dyDescent="0.3"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</row>
    <row r="234" spans="13:33" x14ac:dyDescent="0.3"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  <row r="235" spans="13:33" x14ac:dyDescent="0.3"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</row>
    <row r="236" spans="13:33" x14ac:dyDescent="0.3"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</row>
    <row r="237" spans="13:33" x14ac:dyDescent="0.3"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</row>
    <row r="238" spans="13:33" x14ac:dyDescent="0.3"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spans="13:33" x14ac:dyDescent="0.3"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</row>
    <row r="240" spans="13:33" x14ac:dyDescent="0.3"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spans="13:33" x14ac:dyDescent="0.3"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13:33" x14ac:dyDescent="0.3"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spans="13:33" x14ac:dyDescent="0.3"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3:33" x14ac:dyDescent="0.3"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13:33" x14ac:dyDescent="0.3"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3:33" x14ac:dyDescent="0.3"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</row>
    <row r="247" spans="13:33" x14ac:dyDescent="0.3"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3:33" x14ac:dyDescent="0.3"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3:33" x14ac:dyDescent="0.3"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3:33" x14ac:dyDescent="0.3"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3:33" x14ac:dyDescent="0.3"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3:33" x14ac:dyDescent="0.3"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3:33" x14ac:dyDescent="0.3"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</row>
    <row r="254" spans="13:33" x14ac:dyDescent="0.3"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3:33" x14ac:dyDescent="0.3"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</row>
    <row r="256" spans="13:33" x14ac:dyDescent="0.3"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</row>
    <row r="257" spans="13:33" x14ac:dyDescent="0.3"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</row>
    <row r="258" spans="13:33" x14ac:dyDescent="0.3"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</row>
    <row r="259" spans="13:33" x14ac:dyDescent="0.3"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</sheetData>
  <mergeCells count="2">
    <mergeCell ref="B8:B9"/>
    <mergeCell ref="C8:D8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0763fc-8244-45f5-965b-44fc84eae797" xsi:nil="true"/>
    <lcf76f155ced4ddcb4097134ff3c332f xmlns="eb203f92-03db-453f-8a48-b570a5e216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B24C00A0647488A2D98A7B3B4333C" ma:contentTypeVersion="11" ma:contentTypeDescription="Create a new document." ma:contentTypeScope="" ma:versionID="aa4ff2e381884c3a9051ccc06e99506f">
  <xsd:schema xmlns:xsd="http://www.w3.org/2001/XMLSchema" xmlns:xs="http://www.w3.org/2001/XMLSchema" xmlns:p="http://schemas.microsoft.com/office/2006/metadata/properties" xmlns:ns2="eb203f92-03db-453f-8a48-b570a5e21613" xmlns:ns3="250763fc-8244-45f5-965b-44fc84eae797" targetNamespace="http://schemas.microsoft.com/office/2006/metadata/properties" ma:root="true" ma:fieldsID="c856bcea8bb8f869b4d337d220ee7cb8" ns2:_="" ns3:_="">
    <xsd:import namespace="eb203f92-03db-453f-8a48-b570a5e21613"/>
    <xsd:import namespace="250763fc-8244-45f5-965b-44fc84eae7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203f92-03db-453f-8a48-b570a5e21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a8fba47-eb6c-434b-84f7-1a3e4f908b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763fc-8244-45f5-965b-44fc84eae7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c3355a8-9a2d-44a2-bbdc-a0d8edf2af8e}" ma:internalName="TaxCatchAll" ma:showField="CatchAllData" ma:web="250763fc-8244-45f5-965b-44fc84eae7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2C37E64-01B3-4872-BECB-519A427CF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8008DC-7CCD-404F-B501-8B11EF714133}">
  <ds:schemaRefs>
    <ds:schemaRef ds:uri="eb203f92-03db-453f-8a48-b570a5e21613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50763fc-8244-45f5-965b-44fc84eae7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67B6870-3DB1-4254-A012-FDD99F21E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203f92-03db-453f-8a48-b570a5e21613"/>
    <ds:schemaRef ds:uri="250763fc-8244-45f5-965b-44fc84eae7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2C335A5-CA68-4FAB-B144-9DAC254DC1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Instructions</vt:lpstr>
      <vt:lpstr>1. Emissions Forecast</vt:lpstr>
      <vt:lpstr>Emissions Forecast Data</vt:lpstr>
      <vt:lpstr>Simple Emissions Forecast</vt:lpstr>
      <vt:lpstr>2. Facility Emissions</vt:lpstr>
      <vt:lpstr>Hotspot Analysis by Site</vt:lpstr>
      <vt:lpstr>Facility Emissions</vt:lpstr>
      <vt:lpstr>Goal Scenarios</vt:lpstr>
      <vt:lpstr>3. Decarbonization Strategy</vt:lpstr>
      <vt:lpstr>EFs</vt:lpstr>
      <vt:lpstr>Transformation</vt:lpstr>
      <vt:lpstr>Assumptions</vt:lpstr>
      <vt:lpstr>Emissions Data Output</vt:lpstr>
      <vt:lpstr>Decarbonization Output</vt:lpstr>
      <vt:lpstr>Decarbonization Scenarios_S1+2</vt:lpstr>
      <vt:lpstr>Electrification_Pct_2035</vt:lpstr>
      <vt:lpstr>'Simple Emissions Forecast'!Energy_Conversions</vt:lpstr>
      <vt:lpstr>Energy_Conversions</vt:lpstr>
      <vt:lpstr>GWP_CH4</vt:lpstr>
      <vt:lpstr>GWP_N2O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Nicholas Masiello</dc:creator>
  <cp:keywords/>
  <dc:description/>
  <cp:lastModifiedBy>Aaron Leow</cp:lastModifiedBy>
  <cp:revision/>
  <dcterms:created xsi:type="dcterms:W3CDTF">2020-10-14T19:08:20Z</dcterms:created>
  <dcterms:modified xsi:type="dcterms:W3CDTF">2024-07-23T18:49:49Z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0x01010028FB24C00A0647488A2D98A7B3B4333C</vt:lpwstr>
  </property>
  <property fmtid="{D5CDD505-2E9C-101B-9397-08002B2CF9AE}" pid="3" name="MediaServiceImageTags">
    <vt:lpwstr/>
  </property>
</Properties>
</file>